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omint.sharepoint.com/teams/MigrationResponse/Shared Documents/Ex-post publication of contracts/"/>
    </mc:Choice>
  </mc:AlternateContent>
  <xr:revisionPtr revIDLastSave="1157" documentId="8_{EC0EF0B2-D0E9-4AF0-A5E2-2513889A308A}" xr6:coauthVersionLast="47" xr6:coauthVersionMax="47" xr10:uidLastSave="{57A0CD7C-FB84-44FB-A8A6-DF536D2B9C5C}"/>
  <bookViews>
    <workbookView xWindow="28680" yWindow="-120" windowWidth="29040" windowHeight="15840" xr2:uid="{00000000-000D-0000-FFFF-FFFF00000000}"/>
  </bookViews>
  <sheets>
    <sheet name="ex-post publication" sheetId="2" r:id="rId1"/>
  </sheets>
  <definedNames>
    <definedName name="_xlnm._FilterDatabase" localSheetId="0" hidden="1">'ex-post publication'!$C$2:$O$242</definedName>
    <definedName name="_xlnm.Print_Titles" localSheetId="0">'ex-post publication'!$1:$2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M13" i="2"/>
  <c r="M7" i="2"/>
  <c r="M6" i="2"/>
  <c r="M145" i="2"/>
  <c r="M149" i="2"/>
  <c r="M142" i="2"/>
  <c r="M44" i="2"/>
  <c r="M33" i="2"/>
  <c r="M41" i="2"/>
  <c r="M92" i="2"/>
  <c r="M27" i="2"/>
  <c r="M28" i="2"/>
  <c r="M11" i="2"/>
  <c r="M17" i="2"/>
  <c r="M16" i="2"/>
  <c r="M15" i="2"/>
  <c r="M56" i="2"/>
  <c r="M47" i="2"/>
  <c r="M46" i="2"/>
  <c r="M53" i="2"/>
  <c r="M95" i="2"/>
  <c r="M94" i="2"/>
  <c r="M48" i="2"/>
  <c r="M22" i="2"/>
  <c r="M117" i="2"/>
  <c r="M103" i="2"/>
  <c r="M137" i="2"/>
  <c r="M136" i="2"/>
  <c r="M131" i="2"/>
  <c r="M180" i="2"/>
  <c r="M26" i="2"/>
  <c r="M55" i="2"/>
  <c r="M116" i="2" l="1"/>
  <c r="M115" i="2"/>
  <c r="M114" i="2"/>
  <c r="M50" i="2"/>
  <c r="M49" i="2"/>
  <c r="M10" i="2"/>
  <c r="M113" i="2"/>
  <c r="M52" i="2"/>
  <c r="M101" i="2"/>
  <c r="M54" i="2"/>
  <c r="M21" i="2"/>
  <c r="M51" i="2"/>
  <c r="M238" i="2" l="1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8" i="2"/>
  <c r="M147" i="2"/>
  <c r="M146" i="2"/>
  <c r="M144" i="2"/>
  <c r="M143" i="2"/>
  <c r="M141" i="2"/>
  <c r="M140" i="2"/>
  <c r="M139" i="2"/>
  <c r="M138" i="2"/>
  <c r="M135" i="2"/>
  <c r="M134" i="2"/>
  <c r="M133" i="2"/>
  <c r="M132" i="2"/>
  <c r="M130" i="2"/>
  <c r="M129" i="2"/>
  <c r="M128" i="2"/>
  <c r="M127" i="2"/>
  <c r="M126" i="2"/>
  <c r="M125" i="2"/>
  <c r="M124" i="2"/>
  <c r="M122" i="2"/>
  <c r="M121" i="2"/>
  <c r="M120" i="2"/>
  <c r="M112" i="2"/>
  <c r="M111" i="2"/>
  <c r="M119" i="2"/>
  <c r="M118" i="2"/>
  <c r="M110" i="2"/>
  <c r="M109" i="2"/>
  <c r="M108" i="2"/>
  <c r="M107" i="2"/>
  <c r="M106" i="2"/>
  <c r="M105" i="2"/>
  <c r="M104" i="2"/>
  <c r="M102" i="2"/>
  <c r="M97" i="2"/>
  <c r="M96" i="2"/>
  <c r="M93" i="2"/>
  <c r="M91" i="2"/>
  <c r="M90" i="2"/>
  <c r="M89" i="2"/>
  <c r="M88" i="2"/>
  <c r="M87" i="2" l="1"/>
  <c r="M86" i="2"/>
  <c r="M85" i="2"/>
  <c r="M84" i="2"/>
  <c r="M83" i="2"/>
  <c r="M82" i="2"/>
  <c r="M80" i="2"/>
  <c r="M81" i="2"/>
  <c r="M78" i="2" l="1"/>
  <c r="M79" i="2"/>
  <c r="M71" i="2"/>
  <c r="M74" i="2"/>
  <c r="M75" i="2"/>
  <c r="M77" i="2"/>
  <c r="M72" i="2"/>
  <c r="M73" i="2"/>
  <c r="M76" i="2"/>
  <c r="M70" i="2" l="1"/>
  <c r="M69" i="2"/>
  <c r="M68" i="2"/>
  <c r="M67" i="2"/>
  <c r="M66" i="2"/>
  <c r="M65" i="2"/>
  <c r="M64" i="2"/>
  <c r="M63" i="2"/>
  <c r="M62" i="2" l="1"/>
  <c r="M61" i="2"/>
  <c r="M60" i="2"/>
  <c r="M59" i="2"/>
  <c r="M58" i="2"/>
  <c r="M43" i="2"/>
  <c r="M42" i="2"/>
  <c r="M40" i="2"/>
  <c r="M39" i="2"/>
  <c r="M38" i="2"/>
  <c r="M37" i="2"/>
  <c r="M36" i="2"/>
  <c r="M35" i="2"/>
  <c r="M34" i="2"/>
  <c r="M32" i="2"/>
  <c r="M31" i="2"/>
  <c r="M29" i="2"/>
  <c r="M30" i="2"/>
  <c r="M25" i="2"/>
  <c r="M24" i="2"/>
  <c r="M23" i="2"/>
  <c r="M20" i="2"/>
  <c r="M18" i="2"/>
  <c r="M14" i="2"/>
  <c r="M9" i="2"/>
  <c r="M8" i="2"/>
  <c r="M5" i="2"/>
  <c r="M3" i="2"/>
  <c r="A4" i="2" l="1"/>
</calcChain>
</file>

<file path=xl/sharedStrings.xml><?xml version="1.0" encoding="utf-8"?>
<sst xmlns="http://schemas.openxmlformats.org/spreadsheetml/2006/main" count="1936" uniqueCount="573">
  <si>
    <t>EC Agreement details</t>
  </si>
  <si>
    <t>Grant/procurement contract's details</t>
  </si>
  <si>
    <t>Posting Ref #</t>
  </si>
  <si>
    <t>IOM Mission</t>
  </si>
  <si>
    <t>Name of programme</t>
  </si>
  <si>
    <t>EU Reference number</t>
  </si>
  <si>
    <t>Entity with whom the Commission has signed the contribution agreement</t>
  </si>
  <si>
    <t>Total amount of EU contribution for the programme</t>
  </si>
  <si>
    <t>Start date of the programme</t>
  </si>
  <si>
    <t>End date of the programme</t>
  </si>
  <si>
    <t>Title of grant/procurement contract</t>
  </si>
  <si>
    <t>Name and nationality of grant beneficiary or contractor</t>
  </si>
  <si>
    <t>Date of grant/procurement contract</t>
  </si>
  <si>
    <t>Contract Number</t>
  </si>
  <si>
    <t>Amount of grant/procurement contract</t>
  </si>
  <si>
    <t>PC</t>
  </si>
  <si>
    <t>Currency *</t>
  </si>
  <si>
    <r>
      <t xml:space="preserve">* All transactions incurred in other currencies are translated into EURO using the </t>
    </r>
    <r>
      <rPr>
        <b/>
        <u/>
        <sz val="11"/>
        <color theme="1"/>
        <rFont val="Arial"/>
        <family val="2"/>
      </rPr>
      <t>UNITED NATIONS OPERATIONAL RATES OF EXCHANGE</t>
    </r>
    <r>
      <rPr>
        <sz val="11"/>
        <color theme="1"/>
        <rFont val="Arial"/>
        <family val="2"/>
      </rPr>
      <t xml:space="preserve"> prevailing at the date of the grant/procurement contract.</t>
    </r>
  </si>
  <si>
    <t>IOM Bosnia and Hercegovina</t>
  </si>
  <si>
    <t>Special  measures to Support to the Response to the Refugee and Migrant Situation in Bosnia and Herzegovina Phase III</t>
  </si>
  <si>
    <t>2020/417-356</t>
  </si>
  <si>
    <t>EUR</t>
  </si>
  <si>
    <t>ACI d.o.o.</t>
  </si>
  <si>
    <t>176-03/21</t>
  </si>
  <si>
    <t>58-04/21</t>
  </si>
  <si>
    <t>219-04/21</t>
  </si>
  <si>
    <t>Accommodation containers</t>
  </si>
  <si>
    <t>SUV vehicles for SIPA of Bosnia and Herzegovina</t>
  </si>
  <si>
    <t>Truck with upgraded tank for delivery of drinkable water</t>
  </si>
  <si>
    <t>ALFE-MI d.o.o.</t>
  </si>
  <si>
    <t>60-10/20</t>
  </si>
  <si>
    <t>31-10/20</t>
  </si>
  <si>
    <t>AQUA TIM distribucija d.o.o.</t>
  </si>
  <si>
    <t>108-10/20</t>
  </si>
  <si>
    <t>Delivery of 18.9 L bottles of drinkable water and PVC cups</t>
  </si>
  <si>
    <t>Delivery of night vision devices and binocular</t>
  </si>
  <si>
    <t>Atex d.o.o.</t>
  </si>
  <si>
    <t>26-21-EB-BA10-P</t>
  </si>
  <si>
    <t>Security services</t>
  </si>
  <si>
    <t>Bakrac d.o.o.</t>
  </si>
  <si>
    <t>23-04/20</t>
  </si>
  <si>
    <t>Construction agreeemnt - ground and concrete works TRC Lipa LOT 1</t>
  </si>
  <si>
    <t>BC-Gradnja d.o.o.</t>
  </si>
  <si>
    <t>57-05/21</t>
  </si>
  <si>
    <t>58-05/21</t>
  </si>
  <si>
    <t>Construction agreement - ground and concrete works TRC Lipa LOT 2</t>
  </si>
  <si>
    <t>Behic Sanny Boy</t>
  </si>
  <si>
    <t>28-05/21</t>
  </si>
  <si>
    <t>Construction agreement - construction of supporting walls TRC Lipa</t>
  </si>
  <si>
    <t>Purchase of official shallow draft vessel/patrol boat for Border Police BiH</t>
  </si>
  <si>
    <t>21-21-EB-BA10-P</t>
  </si>
  <si>
    <t>Beka Comemrce d.o.o.</t>
  </si>
  <si>
    <t>Bira d.d. Bihac</t>
  </si>
  <si>
    <t>25-04/2020</t>
  </si>
  <si>
    <t>Professional kitchen appliances for TRC Usivak</t>
  </si>
  <si>
    <t>BOB's d.o.o.</t>
  </si>
  <si>
    <t>113-10/20</t>
  </si>
  <si>
    <t>Professional kitchen appliances for TRC Blazuj</t>
  </si>
  <si>
    <t>93-10/20</t>
  </si>
  <si>
    <t>Bodyguard Filekovic d.o.o.</t>
  </si>
  <si>
    <t>93-01-21</t>
  </si>
  <si>
    <t>Accommodation services for Border Police and Police officers in Bijeljina</t>
  </si>
  <si>
    <t>Hotel River Braca Lazic d.o.o.</t>
  </si>
  <si>
    <t>40-21-EB-BA10-P</t>
  </si>
  <si>
    <t>Braca Mujic d.o.o.</t>
  </si>
  <si>
    <t>109-11/20</t>
  </si>
  <si>
    <t>Rent of 4 generators TRC Blazuj</t>
  </si>
  <si>
    <t>Rent of 3 generators TRC Blazuj</t>
  </si>
  <si>
    <t>87-21-AV-BA10-P</t>
  </si>
  <si>
    <t>Lease Agreement - TRC Bira</t>
  </si>
  <si>
    <t>Lease agreement - warehouse Bihac</t>
  </si>
  <si>
    <t>Brzi d.o.o.</t>
  </si>
  <si>
    <t>100-06/20</t>
  </si>
  <si>
    <t>Bucomerc d.o.o.</t>
  </si>
  <si>
    <t>133-11/20</t>
  </si>
  <si>
    <t>Construction agreement-road reconstruction in Usivak</t>
  </si>
  <si>
    <t>Cistoca d.o.o.</t>
  </si>
  <si>
    <t>13-04/20</t>
  </si>
  <si>
    <t>130-09/20</t>
  </si>
  <si>
    <t>Crveni križ grada Mostara</t>
  </si>
  <si>
    <t>Service agreement - preparation and distribution of meals</t>
  </si>
  <si>
    <t>Service agreement on garbage disposal TRC Sedra</t>
  </si>
  <si>
    <t>Recurring supply agreement</t>
  </si>
  <si>
    <t>Defter d.o.o.</t>
  </si>
  <si>
    <t>159-05/20</t>
  </si>
  <si>
    <t>Dzena d.o.o.</t>
  </si>
  <si>
    <t>Construction agreement Supporting walls TRC Lipa LOT 7</t>
  </si>
  <si>
    <t>26-05/21</t>
  </si>
  <si>
    <t>Construction agreement Supporting walls TRC Lipa LOT 8</t>
  </si>
  <si>
    <t>27-05/21</t>
  </si>
  <si>
    <t>Construction agreement Central warehouse TRC Blazuj</t>
  </si>
  <si>
    <t>99-07/20</t>
  </si>
  <si>
    <t>EKONOMIK GROUP d.o.o.</t>
  </si>
  <si>
    <t>26-06/21</t>
  </si>
  <si>
    <t>Purchase, delivery, unloading and installation of combined sanitary containers at LIPA site</t>
  </si>
  <si>
    <t>JP Elektroprivreda</t>
  </si>
  <si>
    <t>40405-184254/20</t>
  </si>
  <si>
    <t>Agreement on supply of electricity in TRC Blažuj</t>
  </si>
  <si>
    <t>Supply and delivery of goods/specialized vehicle trailers for transport</t>
  </si>
  <si>
    <t>Faro d.o.o.</t>
  </si>
  <si>
    <t>01-05/21</t>
  </si>
  <si>
    <t>Construction agreement - external and internal fence TRC Lipa</t>
  </si>
  <si>
    <t>Fiko Commerc d.o.o.</t>
  </si>
  <si>
    <t>19-06/21</t>
  </si>
  <si>
    <t>Construction agreement/NFI warehouse TRC Lipa</t>
  </si>
  <si>
    <t>90-22-AD-BA10-P</t>
  </si>
  <si>
    <t>Lipa - materials for floors in military tents</t>
  </si>
  <si>
    <t>4600613978</t>
  </si>
  <si>
    <t>Lipa - materials for floors in additional military tents</t>
  </si>
  <si>
    <t>4600614277</t>
  </si>
  <si>
    <t>351578/2021</t>
  </si>
  <si>
    <t>Service Agreement on increasing electric connection capacity of the facility connected to the power in TRC Ušivak</t>
  </si>
  <si>
    <t>167-21-AD-BA10-P</t>
  </si>
  <si>
    <t xml:space="preserve">Supply Agreement NFI </t>
  </si>
  <si>
    <t>Long Term Agreement NFI addtional qnt</t>
  </si>
  <si>
    <t>Gadzo Comerc d.o.o.</t>
  </si>
  <si>
    <t>243-22-AD-BA10-P</t>
  </si>
  <si>
    <t>Delivery of Sweets and Snacks for Temporary Reception Centres in Una-Sana Canton</t>
  </si>
  <si>
    <t>ENTKOMERC d.o.o.</t>
  </si>
  <si>
    <t>369-22-AD-BA10-P</t>
  </si>
  <si>
    <t>03-04/20</t>
  </si>
  <si>
    <t>Supply agreement</t>
  </si>
  <si>
    <t>160-01/21</t>
  </si>
  <si>
    <t>10-08/20</t>
  </si>
  <si>
    <t>4600601183/4600601188/4600602225/4600603026</t>
  </si>
  <si>
    <t>66-12/20</t>
  </si>
  <si>
    <t>4600610903</t>
  </si>
  <si>
    <t>HIFA PETROL d.o.o.</t>
  </si>
  <si>
    <t>55-10/20</t>
  </si>
  <si>
    <t>Provision of fuel and car supplies for Ministry of Security agencies vehicles</t>
  </si>
  <si>
    <t>152-03/21</t>
  </si>
  <si>
    <t>Supply agreement/NFI outreach</t>
  </si>
  <si>
    <t>Supply agreement/Winter NFI outreach</t>
  </si>
  <si>
    <t>86-10/21</t>
  </si>
  <si>
    <t>"HOTEL" Cazin d.o.o.</t>
  </si>
  <si>
    <t>Lease agreement HOTEL Cazin</t>
  </si>
  <si>
    <t>77-06/20</t>
  </si>
  <si>
    <t>Supply agreement food USC</t>
  </si>
  <si>
    <t>Supply agreement food SC</t>
  </si>
  <si>
    <t>46-06/20</t>
  </si>
  <si>
    <t>13-06/20</t>
  </si>
  <si>
    <t>Supply agreement food Salakovac</t>
  </si>
  <si>
    <t>09-01/21</t>
  </si>
  <si>
    <t>LTA food SC</t>
  </si>
  <si>
    <t>32-22-AD-BA10-P</t>
  </si>
  <si>
    <t>01-02-22</t>
  </si>
  <si>
    <t>Supply of goods/food for outreach operation</t>
  </si>
  <si>
    <t>4600601361/4600601367/4600601370</t>
  </si>
  <si>
    <t>Supply of plastic cutlery SC</t>
  </si>
  <si>
    <t>08-01/21</t>
  </si>
  <si>
    <t>Supply of plastic cutlery USC</t>
  </si>
  <si>
    <t>59-21-EB-BA10-P</t>
  </si>
  <si>
    <t>08-07/20</t>
  </si>
  <si>
    <t>100-22-AD-BA10-P</t>
  </si>
  <si>
    <t>Supply of winter clothes SC</t>
  </si>
  <si>
    <t>4500187418</t>
  </si>
  <si>
    <t>Reconstruction of registration area in TRC Usivak</t>
  </si>
  <si>
    <t>Galbols d.o.o.</t>
  </si>
  <si>
    <t>92-05/21</t>
  </si>
  <si>
    <t>Construction of a warehouse within the existing awning</t>
  </si>
  <si>
    <t>82-06/21</t>
  </si>
  <si>
    <t>109-21-AV-BA10-P</t>
  </si>
  <si>
    <t>TRC Usivak - Roofing,interior, electrical works</t>
  </si>
  <si>
    <t>314-22-AD-BA10-P</t>
  </si>
  <si>
    <t>TRC Blazuj - Construction works on registration office</t>
  </si>
  <si>
    <t>TRC Usivak- kitchen expansion works</t>
  </si>
  <si>
    <t>64-11/20</t>
  </si>
  <si>
    <t>Supply and delivery of goods/Office supplies USC</t>
  </si>
  <si>
    <t>Gataric d.o.o.</t>
  </si>
  <si>
    <t>56-08/20</t>
  </si>
  <si>
    <t>Security Agreement/TRC Blazuj</t>
  </si>
  <si>
    <t>Glock Sigurnost d.o.o.</t>
  </si>
  <si>
    <t>12-07/20</t>
  </si>
  <si>
    <t>Security Agreement/TRC Usivak</t>
  </si>
  <si>
    <t>Security Agreement/SFA office for registration</t>
  </si>
  <si>
    <t>11-07/20</t>
  </si>
  <si>
    <t>13-07/20</t>
  </si>
  <si>
    <t>Construction agreement - LIPA-Relocation, reparation and connecting of three sanitary containers to water and sewage</t>
  </si>
  <si>
    <t>GTO d.o.o.</t>
  </si>
  <si>
    <t>450116526</t>
  </si>
  <si>
    <t>Vehicle lease Agreement</t>
  </si>
  <si>
    <t>Guma X d.o.o.</t>
  </si>
  <si>
    <t>65-02/21</t>
  </si>
  <si>
    <t>313-22-AD-BA10-P</t>
  </si>
  <si>
    <t>38-09/20</t>
  </si>
  <si>
    <t>Service Agreement/Transport of children to schools USC</t>
  </si>
  <si>
    <t>Jaro Tours d.o.o.</t>
  </si>
  <si>
    <t>Service agreement/watersupply maintenance TRC Lipa</t>
  </si>
  <si>
    <t>JP Vodovod d.o.o. Bihac</t>
  </si>
  <si>
    <t>Delivery of drinkable water by cistern TRC Lipa</t>
  </si>
  <si>
    <t>4500145367</t>
  </si>
  <si>
    <t>4500145625</t>
  </si>
  <si>
    <t>4600587471</t>
  </si>
  <si>
    <t>4600595541</t>
  </si>
  <si>
    <t>4600600470</t>
  </si>
  <si>
    <t>4600603507</t>
  </si>
  <si>
    <t>4500124722</t>
  </si>
  <si>
    <t>Delivery of uniforms for USC Police</t>
  </si>
  <si>
    <t>KM Trade d.o.o.</t>
  </si>
  <si>
    <t>Delivery of boots for SIPA</t>
  </si>
  <si>
    <t>4500214392</t>
  </si>
  <si>
    <t>JKP Vodovod i kanalizacija d.o.o. Velika Kladusa</t>
  </si>
  <si>
    <t>114-09/20</t>
  </si>
  <si>
    <t>114-09/20
166-22-AD-BA10-P (5 Am)</t>
  </si>
  <si>
    <t xml:space="preserve">Provision of sewage services </t>
  </si>
  <si>
    <t>Electrification of 20 ( twenty) military tents</t>
  </si>
  <si>
    <t>Zanatstvo d.o.o.</t>
  </si>
  <si>
    <t>05-03/21</t>
  </si>
  <si>
    <t>Electrification of military tents, sanitary and office containers</t>
  </si>
  <si>
    <t>29-04/21</t>
  </si>
  <si>
    <t>Reparation of accommodation and sanitary containers from Bira and Sedra</t>
  </si>
  <si>
    <t>23-21-EB-BA10-P</t>
  </si>
  <si>
    <t>Reconstruction works on extension of the dining room and warehouse in TRC Blazuj</t>
  </si>
  <si>
    <t>Visak d.o.o.</t>
  </si>
  <si>
    <t>64-10/20</t>
  </si>
  <si>
    <t xml:space="preserve">Monthly rent of eco toilets with cleaning services in the camp - April 2021 </t>
  </si>
  <si>
    <t>Vigrad d.o.o. Banja Luka</t>
  </si>
  <si>
    <t>4600620471</t>
  </si>
  <si>
    <t xml:space="preserve">Monthly rent of eco toilets with cleaning services in the camp - May-June 2021 </t>
  </si>
  <si>
    <t>4600622322</t>
  </si>
  <si>
    <t xml:space="preserve">Monthly rent of eco toilets with cleaning services in the camp - (Feb - March 2021) </t>
  </si>
  <si>
    <t>4600611964</t>
  </si>
  <si>
    <t xml:space="preserve">Monthly rent of 40 mobile toilets - (Jul - Aug 2021) </t>
  </si>
  <si>
    <t>4500138910</t>
  </si>
  <si>
    <t xml:space="preserve">Monthly rent of 40 mobile toilets - (September 2021) </t>
  </si>
  <si>
    <t>4500149444</t>
  </si>
  <si>
    <t>Ugostiteljski objekat Victoria</t>
  </si>
  <si>
    <t>Accommodation of Border Police and Police Officers in Zvornik June 2020 - April 2021</t>
  </si>
  <si>
    <t>Accommodation of Border Police and Police Officers in Zvornik April 2021 - 31.05.2022</t>
  </si>
  <si>
    <t>UNIQA osiguranje dd Sarajevo</t>
  </si>
  <si>
    <t>n/a</t>
  </si>
  <si>
    <t>Purchase of plastic cutlery</t>
  </si>
  <si>
    <t>Unaviva d.o.o.</t>
  </si>
  <si>
    <t>03-09/20</t>
  </si>
  <si>
    <t>Vehicle Lease Agreement</t>
  </si>
  <si>
    <t>Una Auto d.o.o. Bihac</t>
  </si>
  <si>
    <t>92-12/18</t>
  </si>
  <si>
    <t>Internet Services</t>
  </si>
  <si>
    <t>Telemach</t>
  </si>
  <si>
    <t>601991555/2020</t>
  </si>
  <si>
    <t>Monthly rent of tent 10x30m in TRC Usivak for COVID-19 isolation area</t>
  </si>
  <si>
    <t>Tapas d.o.o.</t>
  </si>
  <si>
    <t>105-04/20</t>
  </si>
  <si>
    <t>Monthly security agency services fee in TRC Usivak, Blazuj and SFA premises - November2020</t>
  </si>
  <si>
    <t>Sword Security d.o.o.</t>
  </si>
  <si>
    <t>Provision of Security Services at Temporary reception center Blazuj (16-30 November 2020)</t>
  </si>
  <si>
    <t>93-11/20</t>
  </si>
  <si>
    <t>Provision of Security Services at Temporary reception center Blazuj - 1st Amendment (01 December 2020 - 30 June 2021)</t>
  </si>
  <si>
    <t>120-02/21</t>
  </si>
  <si>
    <t>Provision of Security Services at Temporary reception center Blazuj - 2nd Amendment (1 July - 31 December 2021)</t>
  </si>
  <si>
    <t>24-07/21</t>
  </si>
  <si>
    <t>Provision of Security Services for Service of Foreign Affairs - 1st Amendment (01 December 2020 - 30 June 2021)</t>
  </si>
  <si>
    <t>123-12/20</t>
  </si>
  <si>
    <t>Provision of Security Services for Service of Foreign Affairs - 2nd Amendment (1 July - 31 December 2021)</t>
  </si>
  <si>
    <t>26-07/21</t>
  </si>
  <si>
    <t>Provision of Security Services at Temporary reception center Usivak (16-30 November 2020)</t>
  </si>
  <si>
    <t>92-11/20</t>
  </si>
  <si>
    <t>Provision of Security Services at Temporary reception center Usivak - 1st Amendment (01 December 2020 - 30 June 2021)</t>
  </si>
  <si>
    <t>68-12/20</t>
  </si>
  <si>
    <t>Provision of Security Services at Temporary reception center Usivak - 2nd Amendment (1 July - 31 December 2021)</t>
  </si>
  <si>
    <t>25-07/21</t>
  </si>
  <si>
    <t>Supply and Delivery of blankets</t>
  </si>
  <si>
    <t>Suljevic Cipelici d.o.o.</t>
  </si>
  <si>
    <t>61-08/20</t>
  </si>
  <si>
    <t>Supply and delivery of non food items</t>
  </si>
  <si>
    <t>23-03/21</t>
  </si>
  <si>
    <t>Procurement of bedding sets</t>
  </si>
  <si>
    <t>4500149829</t>
  </si>
  <si>
    <t>Purchase of blankets and bedding sets</t>
  </si>
  <si>
    <t>4600593710</t>
  </si>
  <si>
    <t>Construcion of supporting walls at TRC Lipa</t>
  </si>
  <si>
    <t>Struktura d.o.o. Jajce</t>
  </si>
  <si>
    <t>131-04/21</t>
  </si>
  <si>
    <t>Procurement of metal bunk beds and mattresses</t>
  </si>
  <si>
    <t>Sonra d.o.o. Zivinice</t>
  </si>
  <si>
    <t>74-04/21</t>
  </si>
  <si>
    <t>Purchase of hand-held thermal vision cameras</t>
  </si>
  <si>
    <t>Shot d.o.o.</t>
  </si>
  <si>
    <t>4-21-EB-BA10</t>
  </si>
  <si>
    <t>Purchase of official uniforms</t>
  </si>
  <si>
    <t>4500125333</t>
  </si>
  <si>
    <t>Delivery of food items in TRC's in Una Sana Canton - 2nd Amendment</t>
  </si>
  <si>
    <t>Robot General Trading</t>
  </si>
  <si>
    <t>15-06/20</t>
  </si>
  <si>
    <t>Procurement of Bottled water for Outreach Operation</t>
  </si>
  <si>
    <t>4600601382</t>
  </si>
  <si>
    <t>Purchase of Canned chicken/beef meat for Outreach Operation</t>
  </si>
  <si>
    <t>4600601417</t>
  </si>
  <si>
    <t>Purchase of Can of Chicken pate for Outreach Operation</t>
  </si>
  <si>
    <t>4600601419</t>
  </si>
  <si>
    <t>Purchase of Canned Fish for Outreach Operation</t>
  </si>
  <si>
    <t>4600601422</t>
  </si>
  <si>
    <t>Supply and delivery of van vehicles</t>
  </si>
  <si>
    <t>Remex d.o.o.</t>
  </si>
  <si>
    <t>223-22-AD-BA10-P</t>
  </si>
  <si>
    <t>Accommodation services for SFA members in Bihac</t>
  </si>
  <si>
    <t>Hotel Rekic d.o.o.</t>
  </si>
  <si>
    <t>21-06/21</t>
  </si>
  <si>
    <t>Crveni križ unsko-sanskog kantona</t>
  </si>
  <si>
    <t>4600589986
4500098784</t>
  </si>
  <si>
    <t>Prepration and distribution of meals in all camps at USC (01 May-30 June 202)</t>
  </si>
  <si>
    <t>93-06/21</t>
  </si>
  <si>
    <t>Prepration and distribution of meals in all camps at USC - 1st Amendment (01 July - 30 August 2021)</t>
  </si>
  <si>
    <t>2-21-EB-BA10/NP</t>
  </si>
  <si>
    <t>Prepration and distribution of meals in all camps at USC - 2nd Amendment (September 2021)</t>
  </si>
  <si>
    <t>88-21-AD-BA10-P</t>
  </si>
  <si>
    <t>Prepration and distribution of meals in all camps at USC - 3rd Amendment (October 2021 - 31 March 2022)</t>
  </si>
  <si>
    <t>36-22-AD-BA10-P</t>
  </si>
  <si>
    <t>Prepration and distribution of meals in all camps at USC - 4th Amendment (April 2022 - May 2022)</t>
  </si>
  <si>
    <t>194-22-AD-BA10-P</t>
  </si>
  <si>
    <t>Distribution of meals in isolation areas of Temporary reception centers at Una Sana Canton</t>
  </si>
  <si>
    <t xml:space="preserve">Crveni krst Federacije Bosne i Hercegovine </t>
  </si>
  <si>
    <t>01-11/20</t>
  </si>
  <si>
    <t>Preparation and distribution of meals in all camps at USC (july, august september 2020)</t>
  </si>
  <si>
    <t>103-07/20</t>
  </si>
  <si>
    <t>Preparation and distribution of meals in all camps at USC - 1st Amendment (october, november 2020)</t>
  </si>
  <si>
    <t>110-10/20</t>
  </si>
  <si>
    <t>Preparation and distribution of meals in all camps at USC - 2nd Amendment (dec 2020 - feb 2021)</t>
  </si>
  <si>
    <t>150-03/21</t>
  </si>
  <si>
    <t>Preparation and distribution of meals in all camps at USC - 3rd Amendment (mar-apr 2021)</t>
  </si>
  <si>
    <t>Purchase of mattresses</t>
  </si>
  <si>
    <t>R&amp;S</t>
  </si>
  <si>
    <t>4500157536</t>
  </si>
  <si>
    <t>4500167497</t>
  </si>
  <si>
    <t>Electrical installation works at TRC Blazuj</t>
  </si>
  <si>
    <t>Pro Team d.o.o.</t>
  </si>
  <si>
    <t>01-12/20</t>
  </si>
  <si>
    <t>Pruchase of 4x4 all-terrain vehicles</t>
  </si>
  <si>
    <t>Porsche Inter Auto BH d.o.o.</t>
  </si>
  <si>
    <t>165-03/21</t>
  </si>
  <si>
    <t>Preparation and distribution of meals in TRC Usivak and TRC Blazuj (June-Sep 2020)</t>
  </si>
  <si>
    <t>Asocijacija pomozi.ba Sarajevo</t>
  </si>
  <si>
    <t>44-08/20</t>
  </si>
  <si>
    <t>Preparation and distribution of meals in TRC Usivak and TRC Blazuj - 1st Amendment (Oct-Nov 2020)</t>
  </si>
  <si>
    <t>94-10/20</t>
  </si>
  <si>
    <t>Preparation and distribution of meals in TRC Usivak and TRC Blazuj - 2nd Amendment (Dec 2020 - June 2021)</t>
  </si>
  <si>
    <t>85-01/21</t>
  </si>
  <si>
    <t>Preparation and distribution of meals in TRC Usivak and TRC Blazuj - 3rd Amendment (Jul-Dec 2021)</t>
  </si>
  <si>
    <t>Preparation and distribution of meals in TRC Usivak and TRC Blazuj - 4th Amendment (Jan-Mar2022)</t>
  </si>
  <si>
    <t>80-22-AV-BA10-P</t>
  </si>
  <si>
    <t>Preparation and distribution of meals in TRC Usivak and TRC Blazuj - 5th Amendment (Apr-May 2022)</t>
  </si>
  <si>
    <t>188-22-AV-BA10-P</t>
  </si>
  <si>
    <t>Supply and delivery of diesel fuel for heating (June-Sep 2020)</t>
  </si>
  <si>
    <t>Petrol-P d.o.o.</t>
  </si>
  <si>
    <t>71-06/20</t>
  </si>
  <si>
    <t>Supply and delivery of diesel fuel for heating ast Amendment (Oct-Nov 2020)</t>
  </si>
  <si>
    <t>07-10/20</t>
  </si>
  <si>
    <t>Supply and delivery of diesel fuel for heating (Dec 2020 - Jun 2021)</t>
  </si>
  <si>
    <t>07-07/21</t>
  </si>
  <si>
    <t>Supply and delivery of diesel fuel for heating - 1st Amendment (Jul-Dec 2021)</t>
  </si>
  <si>
    <t>83-07/21</t>
  </si>
  <si>
    <t>Upgrade of Service for Foreigners' Affiars IT System</t>
  </si>
  <si>
    <t>Page d.o.o.</t>
  </si>
  <si>
    <t>129-01/21</t>
  </si>
  <si>
    <t>Upgrade of Service for Foreigners' Affiars IT System - Phase II</t>
  </si>
  <si>
    <t>157-21-AD--BA10-P</t>
  </si>
  <si>
    <t>Internet Services due to establishment of new internet connection at temporary reception center Lipa</t>
  </si>
  <si>
    <t>Netfix d.o.o.</t>
  </si>
  <si>
    <t>57-21-EB-BA10-P</t>
  </si>
  <si>
    <t>Infrastructur cabling at TRCs Borici, Sedra and Bihac Office</t>
  </si>
  <si>
    <t>121-10/20</t>
  </si>
  <si>
    <t>Lease Agreement - 3rd - 8th Amendment incl water and electricity fee (Aug 2020 - May 2022)</t>
  </si>
  <si>
    <t>Miral PVC</t>
  </si>
  <si>
    <t>Purchase of night vision devices</t>
  </si>
  <si>
    <t>Mibo Komunikacije d.o.o.</t>
  </si>
  <si>
    <t>5-21-EB-BA10-P</t>
  </si>
  <si>
    <t>Purchase of TruceCam II Laser measuring equipment</t>
  </si>
  <si>
    <t>4500168924</t>
  </si>
  <si>
    <t>Purchase of relay devices</t>
  </si>
  <si>
    <t>4500217809</t>
  </si>
  <si>
    <t>Purchase of SUV off-road 4x4 vehicles</t>
  </si>
  <si>
    <t>M.R.M. Export Import</t>
  </si>
  <si>
    <t>165-04/21</t>
  </si>
  <si>
    <t>Purchase of vehicles</t>
  </si>
  <si>
    <t>46-05/21</t>
  </si>
  <si>
    <t>Purchase of 4x4 Van vehicles</t>
  </si>
  <si>
    <t>4500149777</t>
  </si>
  <si>
    <t>Purchase of SUV off-road 4x4 vehicle</t>
  </si>
  <si>
    <t>81-21-EB-BA10-P</t>
  </si>
  <si>
    <t>Rent of Rub-halls at TRC Lipa (October 2020 - December 2020)</t>
  </si>
  <si>
    <t>Kudumija d.o.o.</t>
  </si>
  <si>
    <t>104-10/20</t>
  </si>
  <si>
    <t>Rent of Rub-halls at TRC Blazuj (October 2020 - March 2021)</t>
  </si>
  <si>
    <t>November 2020</t>
  </si>
  <si>
    <t>44-07/20</t>
  </si>
  <si>
    <t>Monthly rent of thermogens for COVID-19 isolation tents (November 2020 - March 2021)</t>
  </si>
  <si>
    <t>107-11/20</t>
  </si>
  <si>
    <t>Construction works:Supporting walls for Lipa settlement LOT 1</t>
  </si>
  <si>
    <t>Kov-grad d.o.o.</t>
  </si>
  <si>
    <t>29-05/21</t>
  </si>
  <si>
    <t>Construction works:Supporting walls for Lipa settlement LOT 2</t>
  </si>
  <si>
    <t>30-05/21</t>
  </si>
  <si>
    <t>Construction works:Supporting walls for Lipa settlement LOT 3</t>
  </si>
  <si>
    <t>31-05/21</t>
  </si>
  <si>
    <t>Construction works:Supporting walls for Lipa settlement LOT 6</t>
  </si>
  <si>
    <t>32-05/21</t>
  </si>
  <si>
    <t>Trash disposal at TRC MIRAL (Aug-Sep 2020)</t>
  </si>
  <si>
    <t>JKUP Komunalije</t>
  </si>
  <si>
    <t>4500092682</t>
  </si>
  <si>
    <t>Trash disposal at TRC MIRAL (Oct-Nov 2020)</t>
  </si>
  <si>
    <t>4500097518</t>
  </si>
  <si>
    <t>Trash disposal at TRC MIRAL (Dec 2020)</t>
  </si>
  <si>
    <t>4500103913</t>
  </si>
  <si>
    <t>Trash disposal at TRC MIRAL (Jan 2021)</t>
  </si>
  <si>
    <t>4500108213</t>
  </si>
  <si>
    <t>Trash disposal at TRC MIRAL (Jan-Jun 2021)</t>
  </si>
  <si>
    <t>4500109807</t>
  </si>
  <si>
    <t>Trash disposal at TRC MIRAL (Jul - Dec 2021) - Service Agreement</t>
  </si>
  <si>
    <t>6-21-EB-BA10/P</t>
  </si>
  <si>
    <t>Trash disposal at TRC MIRAL (Jan - Mar 2022) - 1st Amendment</t>
  </si>
  <si>
    <t>16-22-AD-BA10/P</t>
  </si>
  <si>
    <t>Trash disposal at TRC MIRAL (Apr 2022) - 2nd Amendment</t>
  </si>
  <si>
    <t>176-22-AD-BA10-P</t>
  </si>
  <si>
    <t>Trash disposal at TRC MIRAL (Apr 2022) - 3rd Amendment</t>
  </si>
  <si>
    <t>241-22-AD-BA10-P</t>
  </si>
  <si>
    <t>Delivery of drinkable water and provision of sewage services and snow cleaning - 5th Amendment (June - November 2020)</t>
  </si>
  <si>
    <t>JKP Komunalac d.o.o. Hadzici</t>
  </si>
  <si>
    <t>50-06/20 and 69-10/20</t>
  </si>
  <si>
    <t>Delivery of drinkable water and provision of sewage services and snow cleaning - 6th Amendment (December 2020 - June 2021)</t>
  </si>
  <si>
    <t>158-03/21</t>
  </si>
  <si>
    <t>Delivery of drinkable water and provision of sewage services and snow cleaning - 7th Amendment (July - December 2021)</t>
  </si>
  <si>
    <t>16-07/21</t>
  </si>
  <si>
    <t>Garbage disposal from the temporary reception centres in the area of municipality of Bihac (Aug - Nov 2020)</t>
  </si>
  <si>
    <t>JKP Komrad d.o.o. Bihac</t>
  </si>
  <si>
    <t>Garbage disposal from the temporary reception centres in the area of municipality of Bihac (Dec 2020 - June 2021) - Service Agreement</t>
  </si>
  <si>
    <t>116-01/21</t>
  </si>
  <si>
    <t>Garbage disposal from the temporary reception centres in the area of municipality of Bihac (Jul 2021 - May 2022)</t>
  </si>
  <si>
    <t>Purchase of hazelnut and walnut seeds for Outreach Operation</t>
  </si>
  <si>
    <t>Penny Plus d.o.o.</t>
  </si>
  <si>
    <t>4600601375</t>
  </si>
  <si>
    <t>Purchase of maintenance materials</t>
  </si>
  <si>
    <t>4600624865</t>
  </si>
  <si>
    <t>Purchase of material for enclosing of squats and welding machine</t>
  </si>
  <si>
    <t>4500142201</t>
  </si>
  <si>
    <t>Purchase of sanitary materials and elements</t>
  </si>
  <si>
    <t>4500172376</t>
  </si>
  <si>
    <t>Purchase of construction materials and equipment</t>
  </si>
  <si>
    <t>4500172602</t>
  </si>
  <si>
    <t>Supply and delivery of construction materials</t>
  </si>
  <si>
    <t>4500216702</t>
  </si>
  <si>
    <t>Loading, transportation, unloading and positioning of the containers from Bira to Lipa settlement</t>
  </si>
  <si>
    <t>Vihor Trans d.o.o.</t>
  </si>
  <si>
    <t>43-06/21</t>
  </si>
  <si>
    <t>Purchase of uniforms and jackets</t>
  </si>
  <si>
    <t>Prizma d.o.o.</t>
  </si>
  <si>
    <t>4600605316</t>
  </si>
  <si>
    <t>Purchase of uniforms</t>
  </si>
  <si>
    <t>RM Company</t>
  </si>
  <si>
    <t>4500180308</t>
  </si>
  <si>
    <t>Purchase of air condition devices</t>
  </si>
  <si>
    <t>Telix Tuzla</t>
  </si>
  <si>
    <t>4600594088</t>
  </si>
  <si>
    <t>Purchase and delivery of bunk beds and mattresses</t>
  </si>
  <si>
    <t>Max Trgovine d.o.o.</t>
  </si>
  <si>
    <t>24-21-EB-BA10-P</t>
  </si>
  <si>
    <t>Purchase and delivery of radiators</t>
  </si>
  <si>
    <t>4500168096</t>
  </si>
  <si>
    <t>Purchase and delivery of mattresses</t>
  </si>
  <si>
    <t>4500216028</t>
  </si>
  <si>
    <t>Purchase and delivery of furniture</t>
  </si>
  <si>
    <t>Mir-mar d.o.o.</t>
  </si>
  <si>
    <t>4500217865</t>
  </si>
  <si>
    <t>Purchase of driver assistance in transportation of PoCs</t>
  </si>
  <si>
    <t>UNFPA</t>
  </si>
  <si>
    <t>BIH/IMPL/MM0206/2020</t>
  </si>
  <si>
    <t>BIH/IMPL/MM0219/2020</t>
  </si>
  <si>
    <t>UNHCR</t>
  </si>
  <si>
    <t>UNICEF</t>
  </si>
  <si>
    <t>BIH/IMPL/MM0235/2020</t>
  </si>
  <si>
    <t>UN Agency to UN Agency Contribution Agreement</t>
  </si>
  <si>
    <t>BIH/IMPL/LS0108/2021/EU</t>
  </si>
  <si>
    <t>Project Implementation Agreement</t>
  </si>
  <si>
    <t>The Danish Refugee Council (DRC)</t>
  </si>
  <si>
    <t>4500098644/4500098669/4500098677/4500101045/4600587566/4600587571</t>
  </si>
  <si>
    <t>4500098171</t>
  </si>
  <si>
    <t>Purchase of IT equipment</t>
  </si>
  <si>
    <t>BBS d.o.o.</t>
  </si>
  <si>
    <t>4500099962</t>
  </si>
  <si>
    <t>Supply of electricity in TRC Borici January 21-June 21)</t>
  </si>
  <si>
    <t>Supply of electricity in TRC Usivak October 2020-December 2020)</t>
  </si>
  <si>
    <t>Elektrodistribucija Bihac</t>
  </si>
  <si>
    <t>4500109659</t>
  </si>
  <si>
    <t>Lease agreement/Electricity fee HOTEL Cazin</t>
  </si>
  <si>
    <t>4500109723</t>
  </si>
  <si>
    <t>Supply of electricity in TRC Usivak January 2021-June 2021)</t>
  </si>
  <si>
    <t>4500110917</t>
  </si>
  <si>
    <t>Water fee TRC Blazuj (15 Jan 21 - 30 June 21)</t>
  </si>
  <si>
    <t>KJKP Vodoovod i kanalizacija</t>
  </si>
  <si>
    <t>4500110982</t>
  </si>
  <si>
    <t>Putnik Prevoz</t>
  </si>
  <si>
    <t>4500112419</t>
  </si>
  <si>
    <t>Purchase of cooling chamber container (TRC Blazuj)</t>
  </si>
  <si>
    <t>4500124217</t>
  </si>
  <si>
    <t>Sabina Catovic</t>
  </si>
  <si>
    <t>Rent of Bihac office (Aug 20 - May 2022)</t>
  </si>
  <si>
    <t>Water fee TRC Blazuj (01 July 21 - 14 December 21)</t>
  </si>
  <si>
    <t>4500138312</t>
  </si>
  <si>
    <t>Water fee TRC Blazuj (16 March 22 - 19 May 22)</t>
  </si>
  <si>
    <t>4500205757</t>
  </si>
  <si>
    <t>Water fee TRC Blazuj (12 June 20 - 14 December 20)</t>
  </si>
  <si>
    <t>4600588298</t>
  </si>
  <si>
    <t>Supply of electricity in TRC Borici July  21-December 21)</t>
  </si>
  <si>
    <t>4500139012</t>
  </si>
  <si>
    <t>Transport of children to school USC February 21-May 22</t>
  </si>
  <si>
    <t>Rent of office space for SFA field office Buhac</t>
  </si>
  <si>
    <t>22-22-AD-BA10-P</t>
  </si>
  <si>
    <t>Accommodation for DKPT officers Spetember 21 - May 2022</t>
  </si>
  <si>
    <t>Samir Delic Altea house</t>
  </si>
  <si>
    <t>199-21-AD-BA10-P</t>
  </si>
  <si>
    <t>23-05/18</t>
  </si>
  <si>
    <t>Hare d.o.o.</t>
  </si>
  <si>
    <t>53-21-EB-BA10-P</t>
  </si>
  <si>
    <t>Service Agreement/Transport of children to schools TRC Usivak (Octo 21-May 22)</t>
  </si>
  <si>
    <t>DDD measures in TRC Lipa Sept 2021-May 2022</t>
  </si>
  <si>
    <t>JP Veterinarska stanica Bhac</t>
  </si>
  <si>
    <t>4500161757</t>
  </si>
  <si>
    <t>Purchase of IT equipment (TRC Lipa)</t>
  </si>
  <si>
    <t>4600593529</t>
  </si>
  <si>
    <t>Purchase of Diesel electric generator (TRC Lipa)</t>
  </si>
  <si>
    <t>Inter-Com d.o.o.</t>
  </si>
  <si>
    <t>168-21-AD-BA10-P</t>
  </si>
  <si>
    <t>Guma M d.o.o.</t>
  </si>
  <si>
    <t>4600594124</t>
  </si>
  <si>
    <t>Purchase of SUV Dacia duster for Cantonal institute for legal aid Bihac</t>
  </si>
  <si>
    <t>Purchase of SUV Dacia duster</t>
  </si>
  <si>
    <t>143-22-AD-BA10-P</t>
  </si>
  <si>
    <t>Increase of an output power of transformer station</t>
  </si>
  <si>
    <t>4500223861</t>
  </si>
  <si>
    <t>Purchase, delivery, unloading and installation of sanitary containers at TRC Usivak</t>
  </si>
  <si>
    <t>4600601770</t>
  </si>
  <si>
    <t xml:space="preserve">ETC LIPA-Purchase of containers to establish laundry room </t>
  </si>
  <si>
    <t>4600598839</t>
  </si>
  <si>
    <t>Supply of electricity in TRC Lipa January 22 - May 22</t>
  </si>
  <si>
    <t>4500187725</t>
  </si>
  <si>
    <t xml:space="preserve"> Sleeping bags - Outdoor, temperature resistant -25 degrees Celsius</t>
  </si>
  <si>
    <t>Aquabalkan d.o.o.</t>
  </si>
  <si>
    <t>4500170897</t>
  </si>
  <si>
    <t xml:space="preserve"> Sleeping bags - Outdoor, temperature resistant -32 to -23 degrees Celsius</t>
  </si>
  <si>
    <t>4600601635</t>
  </si>
  <si>
    <t xml:space="preserve"> Sleeping bags - Outdoor, temperature resistant -36 to -23 degrees Celsius</t>
  </si>
  <si>
    <t>4600603947</t>
  </si>
  <si>
    <t>Lipa-Combined sanitary containers for persons with disabilities</t>
  </si>
  <si>
    <t>4500187505</t>
  </si>
  <si>
    <t>Electricity fee TRC Bira (July 20 - September 20)</t>
  </si>
  <si>
    <t>4600587462</t>
  </si>
  <si>
    <t>Water fee TRC Bira (July 20 - September 20)</t>
  </si>
  <si>
    <t>4600587461</t>
  </si>
  <si>
    <t>TRC LIPA- Electricity installation works</t>
  </si>
  <si>
    <t>Grad Bhac</t>
  </si>
  <si>
    <t>4600616753</t>
  </si>
  <si>
    <t>Heatres for USC TRCs</t>
  </si>
  <si>
    <t>Dess-Centar d.o.o.</t>
  </si>
  <si>
    <t>4600608290</t>
  </si>
  <si>
    <t>Rent of generator April-June 20</t>
  </si>
  <si>
    <t>Bosman d.o.o.</t>
  </si>
  <si>
    <t>4600603085</t>
  </si>
  <si>
    <t>EKO TEH d.o.o.</t>
  </si>
  <si>
    <t>4500182091</t>
  </si>
  <si>
    <t>Provision of Security Services at Temporary reception center Blazuj (1 January - 10 April 2022)</t>
  </si>
  <si>
    <t>Provision of Security Services at Temporary reception center Usivak (1 January - 10 April 2022)</t>
  </si>
  <si>
    <t>4500182094</t>
  </si>
  <si>
    <t>Provision of Security Services for Service of Foreign Affairs - (January 2022-May 2022)</t>
  </si>
  <si>
    <t>4500182097</t>
  </si>
  <si>
    <t>Purchase of pick-up-N1G-cargo terrain 4x4 vehicle for Border Police of Bosnia and Herzegovina</t>
  </si>
  <si>
    <t>4500209007</t>
  </si>
  <si>
    <t xml:space="preserve">Purchase of off-road passenger motor vehicle </t>
  </si>
  <si>
    <t>4500209008</t>
  </si>
  <si>
    <t>TRC Borici-Facade construction</t>
  </si>
  <si>
    <t>Alivuc&amp;Co d.o.o.</t>
  </si>
  <si>
    <t>4500188918</t>
  </si>
  <si>
    <t>Off-road vehicles for all types of terrain (ATV's - quads) for police use with protective equipment for Border Police</t>
  </si>
  <si>
    <t>Attex d.o.o.</t>
  </si>
  <si>
    <t>4500167148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</si>
</sst>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5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/>
    </xf>
    <xf numFmtId="49" fontId="0" fillId="0" borderId="0" xfId="0" applyNumberFormat="1"/>
    <xf numFmtId="49" fontId="4" fillId="0" borderId="0" xfId="0" applyNumberFormat="1" applyFont="1" applyAlignment="1">
      <alignment vertical="center"/>
    </xf>
    <xf numFmtId="14" fontId="0" fillId="0" borderId="1" xfId="0" applyNumberForma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49" fontId="0" fillId="0" borderId="4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7"/>
  <sheetViews>
    <sheetView tabSelected="1" zoomScale="60" zoomScaleNormal="60" workbookViewId="0">
      <pane ySplit="2" topLeftCell="A229" activePane="bottomLeft" state="frozen"/>
      <selection pane="bottomLeft" activeCell="F239" sqref="F239"/>
    </sheetView>
  </sheetViews>
  <sheetFormatPr defaultRowHeight="14.4" x14ac:dyDescent="0.3"/>
  <cols>
    <col min="1" max="1" width="10" customWidth="1"/>
    <col min="2" max="2" width="13.6640625" bestFit="1" customWidth="1"/>
    <col min="3" max="3" width="31.5546875" customWidth="1"/>
    <col min="4" max="6" width="19.6640625" customWidth="1"/>
    <col min="7" max="7" width="16.33203125" customWidth="1"/>
    <col min="8" max="8" width="15.44140625" customWidth="1"/>
    <col min="9" max="9" width="63.88671875" customWidth="1"/>
    <col min="10" max="10" width="59.5546875" customWidth="1"/>
    <col min="11" max="11" width="20.88671875" customWidth="1"/>
    <col min="12" max="12" width="18.88671875" style="24" customWidth="1"/>
    <col min="13" max="13" width="17.88671875" customWidth="1"/>
    <col min="14" max="14" width="13.44140625" customWidth="1"/>
    <col min="15" max="15" width="16.88671875" customWidth="1"/>
    <col min="16" max="16" width="25.5546875" customWidth="1"/>
  </cols>
  <sheetData>
    <row r="1" spans="1:15" ht="15.6" x14ac:dyDescent="0.3">
      <c r="C1" s="33" t="s">
        <v>0</v>
      </c>
      <c r="D1" s="34"/>
      <c r="E1" s="34"/>
      <c r="F1" s="34"/>
      <c r="G1" s="34"/>
      <c r="H1" s="35"/>
      <c r="I1" s="32" t="s">
        <v>1</v>
      </c>
      <c r="J1" s="32"/>
      <c r="K1" s="32"/>
      <c r="L1" s="32"/>
      <c r="M1" s="32"/>
      <c r="N1" s="32"/>
      <c r="O1" s="32"/>
    </row>
    <row r="2" spans="1:15" ht="78" x14ac:dyDescent="0.3">
      <c r="A2" s="17" t="s">
        <v>2</v>
      </c>
      <c r="B2" s="17" t="s">
        <v>3</v>
      </c>
      <c r="C2" s="1" t="s">
        <v>4</v>
      </c>
      <c r="D2" s="1" t="s">
        <v>5</v>
      </c>
      <c r="E2" s="1" t="s">
        <v>6</v>
      </c>
      <c r="F2" s="5" t="s">
        <v>7</v>
      </c>
      <c r="G2" s="5" t="s">
        <v>8</v>
      </c>
      <c r="H2" s="1" t="s">
        <v>9</v>
      </c>
      <c r="I2" s="8" t="s">
        <v>10</v>
      </c>
      <c r="J2" s="8" t="s">
        <v>11</v>
      </c>
      <c r="K2" s="9" t="s">
        <v>12</v>
      </c>
      <c r="L2" s="21" t="s">
        <v>13</v>
      </c>
      <c r="M2" s="10" t="s">
        <v>14</v>
      </c>
      <c r="N2" s="3" t="s">
        <v>15</v>
      </c>
      <c r="O2" s="13" t="s">
        <v>16</v>
      </c>
    </row>
    <row r="3" spans="1:15" ht="57.6" x14ac:dyDescent="0.3">
      <c r="A3" s="18">
        <v>1</v>
      </c>
      <c r="B3" s="20" t="s">
        <v>18</v>
      </c>
      <c r="C3" s="16" t="s">
        <v>19</v>
      </c>
      <c r="D3" s="2" t="s">
        <v>20</v>
      </c>
      <c r="E3" s="16" t="s">
        <v>18</v>
      </c>
      <c r="F3" s="11">
        <v>55649667</v>
      </c>
      <c r="G3" s="6">
        <v>43922</v>
      </c>
      <c r="H3" s="6">
        <v>44926</v>
      </c>
      <c r="I3" s="14" t="s">
        <v>27</v>
      </c>
      <c r="J3" s="15" t="s">
        <v>22</v>
      </c>
      <c r="K3" s="6">
        <v>44288</v>
      </c>
      <c r="L3" s="22" t="s">
        <v>23</v>
      </c>
      <c r="M3" s="4">
        <f>378000.04/1.17/1.95583</f>
        <v>165186.62525115028</v>
      </c>
      <c r="N3" s="7"/>
      <c r="O3" s="7" t="s">
        <v>21</v>
      </c>
    </row>
    <row r="4" spans="1:15" ht="57.6" x14ac:dyDescent="0.3">
      <c r="A4" s="18">
        <f>+A3+1</f>
        <v>2</v>
      </c>
      <c r="B4" s="20" t="s">
        <v>18</v>
      </c>
      <c r="C4" s="16" t="s">
        <v>19</v>
      </c>
      <c r="D4" s="2" t="s">
        <v>20</v>
      </c>
      <c r="E4" s="16" t="s">
        <v>18</v>
      </c>
      <c r="F4" s="11">
        <v>55649667</v>
      </c>
      <c r="G4" s="6">
        <v>43922</v>
      </c>
      <c r="H4" s="6">
        <v>44926</v>
      </c>
      <c r="I4" s="14" t="s">
        <v>27</v>
      </c>
      <c r="J4" s="15" t="s">
        <v>22</v>
      </c>
      <c r="K4" s="6">
        <v>44300</v>
      </c>
      <c r="L4" s="22" t="s">
        <v>24</v>
      </c>
      <c r="M4" s="4">
        <v>55052.2</v>
      </c>
      <c r="N4" s="7"/>
      <c r="O4" s="7" t="s">
        <v>21</v>
      </c>
    </row>
    <row r="5" spans="1:15" ht="57.6" x14ac:dyDescent="0.3">
      <c r="A5" s="18">
        <f t="shared" ref="A5:A68" si="0">+A4+1</f>
        <v>3</v>
      </c>
      <c r="B5" s="20" t="s">
        <v>18</v>
      </c>
      <c r="C5" s="16" t="s">
        <v>19</v>
      </c>
      <c r="D5" s="2" t="s">
        <v>20</v>
      </c>
      <c r="E5" s="16" t="s">
        <v>18</v>
      </c>
      <c r="F5" s="11">
        <v>55649667</v>
      </c>
      <c r="G5" s="6">
        <v>43922</v>
      </c>
      <c r="H5" s="6">
        <v>44926</v>
      </c>
      <c r="I5" s="14" t="s">
        <v>28</v>
      </c>
      <c r="J5" s="15" t="s">
        <v>22</v>
      </c>
      <c r="K5" s="6">
        <v>44313</v>
      </c>
      <c r="L5" s="22" t="s">
        <v>25</v>
      </c>
      <c r="M5" s="4">
        <f>271500/1.95583</f>
        <v>138815.74574477333</v>
      </c>
      <c r="N5" s="7"/>
      <c r="O5" s="7" t="s">
        <v>21</v>
      </c>
    </row>
    <row r="6" spans="1:15" ht="57.6" x14ac:dyDescent="0.3">
      <c r="A6" s="18">
        <f t="shared" si="0"/>
        <v>4</v>
      </c>
      <c r="B6" s="20" t="s">
        <v>18</v>
      </c>
      <c r="C6" s="16" t="s">
        <v>19</v>
      </c>
      <c r="D6" s="2" t="s">
        <v>20</v>
      </c>
      <c r="E6" s="16" t="s">
        <v>18</v>
      </c>
      <c r="F6" s="11">
        <v>55649667</v>
      </c>
      <c r="G6" s="6">
        <v>43922</v>
      </c>
      <c r="H6" s="6">
        <v>44926</v>
      </c>
      <c r="I6" s="14" t="s">
        <v>563</v>
      </c>
      <c r="J6" s="15" t="s">
        <v>22</v>
      </c>
      <c r="K6" s="6">
        <v>44677</v>
      </c>
      <c r="L6" s="22" t="s">
        <v>564</v>
      </c>
      <c r="M6" s="4">
        <f>79727/1.95583</f>
        <v>40763.767812130915</v>
      </c>
      <c r="N6" s="7"/>
      <c r="O6" s="7" t="s">
        <v>21</v>
      </c>
    </row>
    <row r="7" spans="1:15" ht="57.6" x14ac:dyDescent="0.3">
      <c r="A7" s="18">
        <f t="shared" si="0"/>
        <v>5</v>
      </c>
      <c r="B7" s="20" t="s">
        <v>18</v>
      </c>
      <c r="C7" s="16" t="s">
        <v>19</v>
      </c>
      <c r="D7" s="2" t="s">
        <v>20</v>
      </c>
      <c r="E7" s="16" t="s">
        <v>18</v>
      </c>
      <c r="F7" s="11">
        <v>55649667</v>
      </c>
      <c r="G7" s="6">
        <v>43922</v>
      </c>
      <c r="H7" s="6">
        <v>44926</v>
      </c>
      <c r="I7" s="14" t="s">
        <v>565</v>
      </c>
      <c r="J7" s="15" t="s">
        <v>22</v>
      </c>
      <c r="K7" s="6">
        <v>44677</v>
      </c>
      <c r="L7" s="22" t="s">
        <v>566</v>
      </c>
      <c r="M7" s="4">
        <f>57400/1.95583</f>
        <v>29348.153980662941</v>
      </c>
      <c r="N7" s="7"/>
      <c r="O7" s="7" t="s">
        <v>21</v>
      </c>
    </row>
    <row r="8" spans="1:15" ht="57.6" x14ac:dyDescent="0.3">
      <c r="A8" s="18">
        <f t="shared" si="0"/>
        <v>6</v>
      </c>
      <c r="B8" s="20" t="s">
        <v>18</v>
      </c>
      <c r="C8" s="16" t="s">
        <v>19</v>
      </c>
      <c r="D8" s="2" t="s">
        <v>20</v>
      </c>
      <c r="E8" s="16" t="s">
        <v>18</v>
      </c>
      <c r="F8" s="11">
        <v>55649667</v>
      </c>
      <c r="G8" s="6">
        <v>43922</v>
      </c>
      <c r="H8" s="6">
        <v>44926</v>
      </c>
      <c r="I8" s="14" t="s">
        <v>26</v>
      </c>
      <c r="J8" s="15" t="s">
        <v>29</v>
      </c>
      <c r="K8" s="6">
        <v>44123</v>
      </c>
      <c r="L8" s="22" t="s">
        <v>30</v>
      </c>
      <c r="M8" s="4">
        <f>151550/1.95583</f>
        <v>77486.28459528691</v>
      </c>
      <c r="N8" s="7"/>
      <c r="O8" s="7" t="s">
        <v>21</v>
      </c>
    </row>
    <row r="9" spans="1:15" ht="57.6" x14ac:dyDescent="0.3">
      <c r="A9" s="18">
        <f t="shared" si="0"/>
        <v>7</v>
      </c>
      <c r="B9" s="20" t="s">
        <v>18</v>
      </c>
      <c r="C9" s="16" t="s">
        <v>19</v>
      </c>
      <c r="D9" s="2" t="s">
        <v>20</v>
      </c>
      <c r="E9" s="16" t="s">
        <v>18</v>
      </c>
      <c r="F9" s="11">
        <v>55649667</v>
      </c>
      <c r="G9" s="6">
        <v>43922</v>
      </c>
      <c r="H9" s="6">
        <v>44926</v>
      </c>
      <c r="I9" s="14" t="s">
        <v>26</v>
      </c>
      <c r="J9" s="15" t="s">
        <v>29</v>
      </c>
      <c r="K9" s="6">
        <v>44116</v>
      </c>
      <c r="L9" s="23" t="s">
        <v>31</v>
      </c>
      <c r="M9" s="4">
        <f>151550/1.95583</f>
        <v>77486.28459528691</v>
      </c>
      <c r="N9" s="7"/>
      <c r="O9" s="7" t="s">
        <v>21</v>
      </c>
    </row>
    <row r="10" spans="1:15" ht="57.6" x14ac:dyDescent="0.3">
      <c r="A10" s="18">
        <f t="shared" si="0"/>
        <v>8</v>
      </c>
      <c r="B10" s="20" t="s">
        <v>18</v>
      </c>
      <c r="C10" s="16" t="s">
        <v>19</v>
      </c>
      <c r="D10" s="2" t="s">
        <v>20</v>
      </c>
      <c r="E10" s="16" t="s">
        <v>18</v>
      </c>
      <c r="F10" s="11">
        <v>55649667</v>
      </c>
      <c r="G10" s="6">
        <v>43922</v>
      </c>
      <c r="H10" s="6">
        <v>44926</v>
      </c>
      <c r="I10" s="14" t="s">
        <v>491</v>
      </c>
      <c r="J10" s="15" t="s">
        <v>29</v>
      </c>
      <c r="K10" s="6">
        <v>44320</v>
      </c>
      <c r="L10" s="23" t="s">
        <v>492</v>
      </c>
      <c r="M10" s="4">
        <f>25000/1.95583</f>
        <v>12782.297029905463</v>
      </c>
      <c r="N10" s="7"/>
      <c r="O10" s="7" t="s">
        <v>21</v>
      </c>
    </row>
    <row r="11" spans="1:15" ht="57.6" x14ac:dyDescent="0.3">
      <c r="A11" s="18">
        <f t="shared" si="0"/>
        <v>9</v>
      </c>
      <c r="B11" s="20" t="s">
        <v>18</v>
      </c>
      <c r="C11" s="16" t="s">
        <v>19</v>
      </c>
      <c r="D11" s="2" t="s">
        <v>20</v>
      </c>
      <c r="E11" s="16" t="s">
        <v>18</v>
      </c>
      <c r="F11" s="11">
        <v>55649667</v>
      </c>
      <c r="G11" s="6">
        <v>43922</v>
      </c>
      <c r="H11" s="6">
        <v>44926</v>
      </c>
      <c r="I11" s="14" t="s">
        <v>541</v>
      </c>
      <c r="J11" s="15" t="s">
        <v>29</v>
      </c>
      <c r="K11" s="6">
        <v>44599</v>
      </c>
      <c r="L11" s="23" t="s">
        <v>542</v>
      </c>
      <c r="M11" s="4">
        <f>21850/1.95583</f>
        <v>11171.727604137373</v>
      </c>
      <c r="N11" s="7"/>
      <c r="O11" s="7" t="s">
        <v>21</v>
      </c>
    </row>
    <row r="12" spans="1:15" ht="57.6" x14ac:dyDescent="0.3">
      <c r="A12" s="18">
        <f t="shared" si="0"/>
        <v>10</v>
      </c>
      <c r="B12" s="20" t="s">
        <v>18</v>
      </c>
      <c r="C12" s="16" t="s">
        <v>19</v>
      </c>
      <c r="D12" s="2" t="s">
        <v>20</v>
      </c>
      <c r="E12" s="16" t="s">
        <v>18</v>
      </c>
      <c r="F12" s="11">
        <v>55649667</v>
      </c>
      <c r="G12" s="6">
        <v>43922</v>
      </c>
      <c r="H12" s="6">
        <v>44926</v>
      </c>
      <c r="I12" s="14" t="s">
        <v>567</v>
      </c>
      <c r="J12" s="15" t="s">
        <v>568</v>
      </c>
      <c r="K12" s="6">
        <v>44603</v>
      </c>
      <c r="L12" s="23" t="s">
        <v>569</v>
      </c>
      <c r="M12" s="4">
        <v>10000</v>
      </c>
      <c r="N12" s="7"/>
      <c r="O12" s="7" t="s">
        <v>21</v>
      </c>
    </row>
    <row r="13" spans="1:15" ht="57.6" x14ac:dyDescent="0.3">
      <c r="A13" s="18">
        <f t="shared" si="0"/>
        <v>11</v>
      </c>
      <c r="B13" s="20" t="s">
        <v>18</v>
      </c>
      <c r="C13" s="16" t="s">
        <v>19</v>
      </c>
      <c r="D13" s="2" t="s">
        <v>20</v>
      </c>
      <c r="E13" s="16" t="s">
        <v>18</v>
      </c>
      <c r="F13" s="11">
        <v>55649667</v>
      </c>
      <c r="G13" s="6">
        <v>43922</v>
      </c>
      <c r="H13" s="6">
        <v>44926</v>
      </c>
      <c r="I13" s="14" t="s">
        <v>570</v>
      </c>
      <c r="J13" s="15" t="s">
        <v>571</v>
      </c>
      <c r="K13" s="6">
        <v>44517</v>
      </c>
      <c r="L13" s="23" t="s">
        <v>572</v>
      </c>
      <c r="M13" s="4">
        <f>124000/1.95583</f>
        <v>63400.193268331095</v>
      </c>
      <c r="N13" s="7"/>
      <c r="O13" s="7" t="s">
        <v>21</v>
      </c>
    </row>
    <row r="14" spans="1:15" ht="57.6" x14ac:dyDescent="0.3">
      <c r="A14" s="18">
        <f t="shared" si="0"/>
        <v>12</v>
      </c>
      <c r="B14" s="20" t="s">
        <v>18</v>
      </c>
      <c r="C14" s="16" t="s">
        <v>19</v>
      </c>
      <c r="D14" s="2" t="s">
        <v>20</v>
      </c>
      <c r="E14" s="16" t="s">
        <v>18</v>
      </c>
      <c r="F14" s="11">
        <v>55649667</v>
      </c>
      <c r="G14" s="6">
        <v>43922</v>
      </c>
      <c r="H14" s="6">
        <v>44926</v>
      </c>
      <c r="I14" s="14" t="s">
        <v>34</v>
      </c>
      <c r="J14" s="15" t="s">
        <v>32</v>
      </c>
      <c r="K14" s="6">
        <v>43921</v>
      </c>
      <c r="L14" s="23" t="s">
        <v>33</v>
      </c>
      <c r="M14" s="4">
        <f>72734.2/1.95583</f>
        <v>37188.405945301995</v>
      </c>
      <c r="N14" s="7"/>
      <c r="O14" s="7" t="s">
        <v>21</v>
      </c>
    </row>
    <row r="15" spans="1:15" ht="57.6" x14ac:dyDescent="0.3">
      <c r="A15" s="18">
        <f t="shared" si="0"/>
        <v>13</v>
      </c>
      <c r="B15" s="20" t="s">
        <v>18</v>
      </c>
      <c r="C15" s="16" t="s">
        <v>19</v>
      </c>
      <c r="D15" s="2" t="s">
        <v>20</v>
      </c>
      <c r="E15" s="16" t="s">
        <v>18</v>
      </c>
      <c r="F15" s="11">
        <v>55649667</v>
      </c>
      <c r="G15" s="6">
        <v>43922</v>
      </c>
      <c r="H15" s="6">
        <v>44926</v>
      </c>
      <c r="I15" s="14" t="s">
        <v>534</v>
      </c>
      <c r="J15" s="15" t="s">
        <v>535</v>
      </c>
      <c r="K15" s="6">
        <v>44531</v>
      </c>
      <c r="L15" s="23" t="s">
        <v>536</v>
      </c>
      <c r="M15" s="4">
        <f>158166/1.95583</f>
        <v>80868.991681281099</v>
      </c>
      <c r="N15" s="7"/>
      <c r="O15" s="7" t="s">
        <v>21</v>
      </c>
    </row>
    <row r="16" spans="1:15" ht="57.6" x14ac:dyDescent="0.3">
      <c r="A16" s="18">
        <f t="shared" si="0"/>
        <v>14</v>
      </c>
      <c r="B16" s="20" t="s">
        <v>18</v>
      </c>
      <c r="C16" s="16" t="s">
        <v>19</v>
      </c>
      <c r="D16" s="2" t="s">
        <v>20</v>
      </c>
      <c r="E16" s="16" t="s">
        <v>18</v>
      </c>
      <c r="F16" s="11">
        <v>55649667</v>
      </c>
      <c r="G16" s="6">
        <v>43922</v>
      </c>
      <c r="H16" s="6">
        <v>44926</v>
      </c>
      <c r="I16" s="14" t="s">
        <v>537</v>
      </c>
      <c r="J16" s="15" t="s">
        <v>535</v>
      </c>
      <c r="K16" s="6">
        <v>44117</v>
      </c>
      <c r="L16" s="23" t="s">
        <v>538</v>
      </c>
      <c r="M16" s="4">
        <f>321869.8/1.95583</f>
        <v>164569.41554225062</v>
      </c>
      <c r="N16" s="7"/>
      <c r="O16" s="7" t="s">
        <v>21</v>
      </c>
    </row>
    <row r="17" spans="1:15" ht="57.6" x14ac:dyDescent="0.3">
      <c r="A17" s="18">
        <f t="shared" si="0"/>
        <v>15</v>
      </c>
      <c r="B17" s="20" t="s">
        <v>18</v>
      </c>
      <c r="C17" s="16" t="s">
        <v>19</v>
      </c>
      <c r="D17" s="2" t="s">
        <v>20</v>
      </c>
      <c r="E17" s="16" t="s">
        <v>18</v>
      </c>
      <c r="F17" s="11">
        <v>55649667</v>
      </c>
      <c r="G17" s="6">
        <v>43922</v>
      </c>
      <c r="H17" s="6">
        <v>44926</v>
      </c>
      <c r="I17" s="14" t="s">
        <v>539</v>
      </c>
      <c r="J17" s="15" t="s">
        <v>535</v>
      </c>
      <c r="K17" s="6">
        <v>44127</v>
      </c>
      <c r="L17" s="23" t="s">
        <v>540</v>
      </c>
      <c r="M17" s="4">
        <f>316410.06/1.95583</f>
        <v>161777.89480680836</v>
      </c>
      <c r="N17" s="7"/>
      <c r="O17" s="7" t="s">
        <v>21</v>
      </c>
    </row>
    <row r="18" spans="1:15" ht="57.6" x14ac:dyDescent="0.3">
      <c r="A18" s="18">
        <f t="shared" si="0"/>
        <v>16</v>
      </c>
      <c r="B18" s="20" t="s">
        <v>18</v>
      </c>
      <c r="C18" s="16" t="s">
        <v>19</v>
      </c>
      <c r="D18" s="2" t="s">
        <v>20</v>
      </c>
      <c r="E18" s="16" t="s">
        <v>18</v>
      </c>
      <c r="F18" s="11">
        <v>55649667</v>
      </c>
      <c r="G18" s="6">
        <v>43922</v>
      </c>
      <c r="H18" s="6">
        <v>44926</v>
      </c>
      <c r="I18" s="14" t="s">
        <v>35</v>
      </c>
      <c r="J18" s="15" t="s">
        <v>36</v>
      </c>
      <c r="K18" s="6">
        <v>44445</v>
      </c>
      <c r="L18" s="22" t="s">
        <v>37</v>
      </c>
      <c r="M18" s="4">
        <f>47950/1.95583</f>
        <v>24516.445703358677</v>
      </c>
      <c r="N18" s="7"/>
      <c r="O18" s="7" t="s">
        <v>21</v>
      </c>
    </row>
    <row r="19" spans="1:15" ht="57.6" x14ac:dyDescent="0.3">
      <c r="A19" s="18">
        <f t="shared" si="0"/>
        <v>17</v>
      </c>
      <c r="B19" s="20" t="s">
        <v>18</v>
      </c>
      <c r="C19" s="16" t="s">
        <v>19</v>
      </c>
      <c r="D19" s="2" t="s">
        <v>20</v>
      </c>
      <c r="E19" s="16" t="s">
        <v>18</v>
      </c>
      <c r="F19" s="11">
        <v>55649667</v>
      </c>
      <c r="G19" s="6">
        <v>43922</v>
      </c>
      <c r="H19" s="6">
        <v>44926</v>
      </c>
      <c r="I19" s="14" t="s">
        <v>38</v>
      </c>
      <c r="J19" s="15" t="s">
        <v>39</v>
      </c>
      <c r="K19" s="6">
        <v>43931</v>
      </c>
      <c r="L19" s="22" t="s">
        <v>40</v>
      </c>
      <c r="M19" s="4">
        <v>1476306.73</v>
      </c>
      <c r="N19" s="7"/>
      <c r="O19" s="7" t="s">
        <v>21</v>
      </c>
    </row>
    <row r="20" spans="1:15" ht="57.6" x14ac:dyDescent="0.3">
      <c r="A20" s="18">
        <f t="shared" si="0"/>
        <v>18</v>
      </c>
      <c r="B20" s="20" t="s">
        <v>18</v>
      </c>
      <c r="C20" s="16" t="s">
        <v>19</v>
      </c>
      <c r="D20" s="2" t="s">
        <v>20</v>
      </c>
      <c r="E20" s="16" t="s">
        <v>18</v>
      </c>
      <c r="F20" s="11">
        <v>55649667</v>
      </c>
      <c r="G20" s="6">
        <v>43922</v>
      </c>
      <c r="H20" s="6">
        <v>44926</v>
      </c>
      <c r="I20" s="14" t="s">
        <v>41</v>
      </c>
      <c r="J20" s="15" t="s">
        <v>42</v>
      </c>
      <c r="K20" s="6">
        <v>44334</v>
      </c>
      <c r="L20" s="22" t="s">
        <v>43</v>
      </c>
      <c r="M20" s="4">
        <f>217209.67/1.95583</f>
        <v>111057.54078830984</v>
      </c>
      <c r="N20" s="7"/>
      <c r="O20" s="7" t="s">
        <v>21</v>
      </c>
    </row>
    <row r="21" spans="1:15" ht="57.6" x14ac:dyDescent="0.3">
      <c r="A21" s="18">
        <f t="shared" si="0"/>
        <v>19</v>
      </c>
      <c r="B21" s="20" t="s">
        <v>18</v>
      </c>
      <c r="C21" s="16" t="s">
        <v>19</v>
      </c>
      <c r="D21" s="2" t="s">
        <v>20</v>
      </c>
      <c r="E21" s="16" t="s">
        <v>18</v>
      </c>
      <c r="F21" s="11">
        <v>55649667</v>
      </c>
      <c r="G21" s="6">
        <v>43922</v>
      </c>
      <c r="H21" s="6">
        <v>44926</v>
      </c>
      <c r="I21" s="14" t="s">
        <v>475</v>
      </c>
      <c r="J21" s="15" t="s">
        <v>476</v>
      </c>
      <c r="K21" s="6">
        <v>44145</v>
      </c>
      <c r="L21" s="22" t="s">
        <v>477</v>
      </c>
      <c r="M21" s="4">
        <f>40368/1.95583</f>
        <v>20639.830660128948</v>
      </c>
      <c r="N21" s="7"/>
      <c r="O21" s="7" t="s">
        <v>21</v>
      </c>
    </row>
    <row r="22" spans="1:15" ht="57.6" x14ac:dyDescent="0.3">
      <c r="A22" s="18">
        <f t="shared" si="0"/>
        <v>20</v>
      </c>
      <c r="B22" s="20" t="s">
        <v>18</v>
      </c>
      <c r="C22" s="16" t="s">
        <v>19</v>
      </c>
      <c r="D22" s="2" t="s">
        <v>20</v>
      </c>
      <c r="E22" s="16" t="s">
        <v>18</v>
      </c>
      <c r="F22" s="11">
        <v>55649667</v>
      </c>
      <c r="G22" s="6">
        <v>43922</v>
      </c>
      <c r="H22" s="6">
        <v>44926</v>
      </c>
      <c r="I22" s="14" t="s">
        <v>516</v>
      </c>
      <c r="J22" s="15" t="s">
        <v>476</v>
      </c>
      <c r="K22" s="6">
        <v>44067</v>
      </c>
      <c r="L22" s="22" t="s">
        <v>517</v>
      </c>
      <c r="M22" s="4">
        <f>25175/1.95583</f>
        <v>12871.7731091148</v>
      </c>
      <c r="N22" s="7"/>
      <c r="O22" s="7" t="s">
        <v>21</v>
      </c>
    </row>
    <row r="23" spans="1:15" ht="57.6" x14ac:dyDescent="0.3">
      <c r="A23" s="18">
        <f t="shared" si="0"/>
        <v>21</v>
      </c>
      <c r="B23" s="20" t="s">
        <v>18</v>
      </c>
      <c r="C23" s="16" t="s">
        <v>19</v>
      </c>
      <c r="D23" s="2" t="s">
        <v>20</v>
      </c>
      <c r="E23" s="16" t="s">
        <v>18</v>
      </c>
      <c r="F23" s="11">
        <v>55649667</v>
      </c>
      <c r="G23" s="6">
        <v>43922</v>
      </c>
      <c r="H23" s="6">
        <v>44926</v>
      </c>
      <c r="I23" s="14" t="s">
        <v>45</v>
      </c>
      <c r="J23" s="15" t="s">
        <v>42</v>
      </c>
      <c r="K23" s="6">
        <v>44334</v>
      </c>
      <c r="L23" s="22" t="s">
        <v>44</v>
      </c>
      <c r="M23" s="4">
        <f>119451.94/1.95583</f>
        <v>61074.807115137824</v>
      </c>
      <c r="N23" s="7"/>
      <c r="O23" s="7" t="s">
        <v>21</v>
      </c>
    </row>
    <row r="24" spans="1:15" ht="57.6" x14ac:dyDescent="0.3">
      <c r="A24" s="18">
        <f t="shared" si="0"/>
        <v>22</v>
      </c>
      <c r="B24" s="20" t="s">
        <v>18</v>
      </c>
      <c r="C24" s="16" t="s">
        <v>19</v>
      </c>
      <c r="D24" s="2" t="s">
        <v>20</v>
      </c>
      <c r="E24" s="16" t="s">
        <v>18</v>
      </c>
      <c r="F24" s="11">
        <v>55649667</v>
      </c>
      <c r="G24" s="6">
        <v>43922</v>
      </c>
      <c r="H24" s="6">
        <v>44926</v>
      </c>
      <c r="I24" s="14" t="s">
        <v>48</v>
      </c>
      <c r="J24" s="15" t="s">
        <v>46</v>
      </c>
      <c r="K24" s="6">
        <v>44336</v>
      </c>
      <c r="L24" s="22" t="s">
        <v>47</v>
      </c>
      <c r="M24" s="4">
        <f>205068.44/1.95583</f>
        <v>104849.82846157387</v>
      </c>
      <c r="N24" s="7"/>
      <c r="O24" s="7" t="s">
        <v>21</v>
      </c>
    </row>
    <row r="25" spans="1:15" ht="57.6" x14ac:dyDescent="0.3">
      <c r="A25" s="18">
        <f t="shared" si="0"/>
        <v>23</v>
      </c>
      <c r="B25" s="20" t="s">
        <v>18</v>
      </c>
      <c r="C25" s="16" t="s">
        <v>19</v>
      </c>
      <c r="D25" s="2" t="s">
        <v>20</v>
      </c>
      <c r="E25" s="16" t="s">
        <v>18</v>
      </c>
      <c r="F25" s="11">
        <v>55649667</v>
      </c>
      <c r="G25" s="6">
        <v>43922</v>
      </c>
      <c r="H25" s="6">
        <v>44926</v>
      </c>
      <c r="I25" s="14" t="s">
        <v>49</v>
      </c>
      <c r="J25" s="15" t="s">
        <v>51</v>
      </c>
      <c r="K25" s="6">
        <v>44439</v>
      </c>
      <c r="L25" s="22" t="s">
        <v>50</v>
      </c>
      <c r="M25" s="4">
        <f>74658/1.95583</f>
        <v>38172.029266347279</v>
      </c>
      <c r="N25" s="7"/>
      <c r="O25" s="7" t="s">
        <v>21</v>
      </c>
    </row>
    <row r="26" spans="1:15" ht="57.6" x14ac:dyDescent="0.3">
      <c r="A26" s="18">
        <f t="shared" si="0"/>
        <v>24</v>
      </c>
      <c r="B26" s="20" t="s">
        <v>18</v>
      </c>
      <c r="C26" s="16" t="s">
        <v>19</v>
      </c>
      <c r="D26" s="2" t="s">
        <v>20</v>
      </c>
      <c r="E26" s="16" t="s">
        <v>18</v>
      </c>
      <c r="F26" s="11">
        <v>55649667</v>
      </c>
      <c r="G26" s="6">
        <v>43922</v>
      </c>
      <c r="H26" s="6">
        <v>44926</v>
      </c>
      <c r="I26" s="14" t="s">
        <v>69</v>
      </c>
      <c r="J26" s="15" t="s">
        <v>52</v>
      </c>
      <c r="K26" s="6">
        <v>43921</v>
      </c>
      <c r="L26" s="22" t="s">
        <v>53</v>
      </c>
      <c r="M26" s="4">
        <f>625000/1.95583</f>
        <v>319557.42574763659</v>
      </c>
      <c r="N26" s="7"/>
      <c r="O26" s="7" t="s">
        <v>21</v>
      </c>
    </row>
    <row r="27" spans="1:15" ht="57.6" x14ac:dyDescent="0.3">
      <c r="A27" s="18">
        <f t="shared" si="0"/>
        <v>25</v>
      </c>
      <c r="B27" s="20" t="s">
        <v>18</v>
      </c>
      <c r="C27" s="16" t="s">
        <v>19</v>
      </c>
      <c r="D27" s="2" t="s">
        <v>20</v>
      </c>
      <c r="E27" s="16" t="s">
        <v>18</v>
      </c>
      <c r="F27" s="11">
        <v>55649667</v>
      </c>
      <c r="G27" s="6">
        <v>43922</v>
      </c>
      <c r="H27" s="6">
        <v>44926</v>
      </c>
      <c r="I27" s="14" t="s">
        <v>543</v>
      </c>
      <c r="J27" s="15" t="s">
        <v>52</v>
      </c>
      <c r="K27" s="6">
        <v>43983</v>
      </c>
      <c r="L27" s="22" t="s">
        <v>544</v>
      </c>
      <c r="M27" s="4">
        <f>47604.26/1.95583</f>
        <v>24339.671648353898</v>
      </c>
      <c r="N27" s="7"/>
      <c r="O27" s="7" t="s">
        <v>21</v>
      </c>
    </row>
    <row r="28" spans="1:15" ht="57.6" x14ac:dyDescent="0.3">
      <c r="A28" s="18">
        <f t="shared" si="0"/>
        <v>26</v>
      </c>
      <c r="B28" s="20" t="s">
        <v>18</v>
      </c>
      <c r="C28" s="16" t="s">
        <v>19</v>
      </c>
      <c r="D28" s="2" t="s">
        <v>20</v>
      </c>
      <c r="E28" s="16" t="s">
        <v>18</v>
      </c>
      <c r="F28" s="11">
        <v>55649667</v>
      </c>
      <c r="G28" s="6">
        <v>43922</v>
      </c>
      <c r="H28" s="6">
        <v>44926</v>
      </c>
      <c r="I28" s="14" t="s">
        <v>545</v>
      </c>
      <c r="J28" s="15" t="s">
        <v>52</v>
      </c>
      <c r="K28" s="6">
        <v>43983</v>
      </c>
      <c r="L28" s="22" t="s">
        <v>546</v>
      </c>
      <c r="M28" s="4">
        <f>36887.34/1.95583</f>
        <v>18860.197460924515</v>
      </c>
      <c r="N28" s="7"/>
      <c r="O28" s="7" t="s">
        <v>21</v>
      </c>
    </row>
    <row r="29" spans="1:15" ht="57.6" x14ac:dyDescent="0.3">
      <c r="A29" s="18">
        <f t="shared" si="0"/>
        <v>27</v>
      </c>
      <c r="B29" s="20" t="s">
        <v>18</v>
      </c>
      <c r="C29" s="16" t="s">
        <v>19</v>
      </c>
      <c r="D29" s="2" t="s">
        <v>20</v>
      </c>
      <c r="E29" s="16" t="s">
        <v>18</v>
      </c>
      <c r="F29" s="11">
        <v>55649667</v>
      </c>
      <c r="G29" s="6">
        <v>43922</v>
      </c>
      <c r="H29" s="6">
        <v>44926</v>
      </c>
      <c r="I29" s="14" t="s">
        <v>54</v>
      </c>
      <c r="J29" s="15" t="s">
        <v>55</v>
      </c>
      <c r="K29" s="6">
        <v>44132</v>
      </c>
      <c r="L29" s="22" t="s">
        <v>56</v>
      </c>
      <c r="M29" s="4">
        <f>75814.83/1.95583</f>
        <v>38763.507053271504</v>
      </c>
      <c r="N29" s="7"/>
      <c r="O29" s="7" t="s">
        <v>21</v>
      </c>
    </row>
    <row r="30" spans="1:15" ht="57.6" x14ac:dyDescent="0.3">
      <c r="A30" s="18">
        <f t="shared" si="0"/>
        <v>28</v>
      </c>
      <c r="B30" s="20" t="s">
        <v>18</v>
      </c>
      <c r="C30" s="16" t="s">
        <v>19</v>
      </c>
      <c r="D30" s="2" t="s">
        <v>20</v>
      </c>
      <c r="E30" s="16" t="s">
        <v>18</v>
      </c>
      <c r="F30" s="11">
        <v>55649667</v>
      </c>
      <c r="G30" s="6">
        <v>43922</v>
      </c>
      <c r="H30" s="6">
        <v>44926</v>
      </c>
      <c r="I30" s="14" t="s">
        <v>57</v>
      </c>
      <c r="J30" s="15" t="s">
        <v>55</v>
      </c>
      <c r="K30" s="6">
        <v>44153</v>
      </c>
      <c r="L30" s="22" t="s">
        <v>58</v>
      </c>
      <c r="M30" s="4">
        <f>185728.14/1.95583</f>
        <v>94961.290091674644</v>
      </c>
      <c r="N30" s="7"/>
      <c r="O30" s="7" t="s">
        <v>21</v>
      </c>
    </row>
    <row r="31" spans="1:15" ht="57.6" x14ac:dyDescent="0.3">
      <c r="A31" s="18">
        <f t="shared" si="0"/>
        <v>29</v>
      </c>
      <c r="B31" s="20" t="s">
        <v>18</v>
      </c>
      <c r="C31" s="16" t="s">
        <v>19</v>
      </c>
      <c r="D31" s="2" t="s">
        <v>20</v>
      </c>
      <c r="E31" s="16" t="s">
        <v>18</v>
      </c>
      <c r="F31" s="11">
        <v>55649667</v>
      </c>
      <c r="G31" s="6">
        <v>43922</v>
      </c>
      <c r="H31" s="6">
        <v>44926</v>
      </c>
      <c r="I31" s="14" t="s">
        <v>38</v>
      </c>
      <c r="J31" s="15" t="s">
        <v>59</v>
      </c>
      <c r="K31" s="6">
        <v>44214</v>
      </c>
      <c r="L31" s="22" t="s">
        <v>60</v>
      </c>
      <c r="M31" s="4">
        <f>232238/1.95583</f>
        <v>118741.4039052474</v>
      </c>
      <c r="N31" s="7"/>
      <c r="O31" s="7" t="s">
        <v>21</v>
      </c>
    </row>
    <row r="32" spans="1:15" ht="57.6" x14ac:dyDescent="0.3">
      <c r="A32" s="18">
        <f t="shared" si="0"/>
        <v>30</v>
      </c>
      <c r="B32" s="20" t="s">
        <v>18</v>
      </c>
      <c r="C32" s="16" t="s">
        <v>19</v>
      </c>
      <c r="D32" s="2" t="s">
        <v>20</v>
      </c>
      <c r="E32" s="16" t="s">
        <v>18</v>
      </c>
      <c r="F32" s="11">
        <v>55649667</v>
      </c>
      <c r="G32" s="6">
        <v>43922</v>
      </c>
      <c r="H32" s="6">
        <v>44926</v>
      </c>
      <c r="I32" s="14" t="s">
        <v>61</v>
      </c>
      <c r="J32" s="15" t="s">
        <v>62</v>
      </c>
      <c r="K32" s="6">
        <v>44454</v>
      </c>
      <c r="L32" s="22" t="s">
        <v>63</v>
      </c>
      <c r="M32" s="4">
        <f>47640.17/1.95583</f>
        <v>24358.032139807652</v>
      </c>
      <c r="N32" s="7"/>
      <c r="O32" s="7" t="s">
        <v>21</v>
      </c>
    </row>
    <row r="33" spans="1:15" ht="57.6" x14ac:dyDescent="0.3">
      <c r="A33" s="18">
        <f t="shared" si="0"/>
        <v>31</v>
      </c>
      <c r="B33" s="20" t="s">
        <v>18</v>
      </c>
      <c r="C33" s="16" t="s">
        <v>19</v>
      </c>
      <c r="D33" s="2" t="s">
        <v>20</v>
      </c>
      <c r="E33" s="16" t="s">
        <v>18</v>
      </c>
      <c r="F33" s="11">
        <v>55649667</v>
      </c>
      <c r="G33" s="6">
        <v>43922</v>
      </c>
      <c r="H33" s="6">
        <v>44926</v>
      </c>
      <c r="I33" s="14" t="s">
        <v>553</v>
      </c>
      <c r="J33" s="15" t="s">
        <v>554</v>
      </c>
      <c r="K33" s="6">
        <v>43922</v>
      </c>
      <c r="L33" s="22" t="s">
        <v>555</v>
      </c>
      <c r="M33" s="4">
        <f>39840/1.95583</f>
        <v>20369.868546857346</v>
      </c>
      <c r="N33" s="7"/>
      <c r="O33" s="7" t="s">
        <v>21</v>
      </c>
    </row>
    <row r="34" spans="1:15" ht="57.6" x14ac:dyDescent="0.3">
      <c r="A34" s="18">
        <f t="shared" si="0"/>
        <v>32</v>
      </c>
      <c r="B34" s="20" t="s">
        <v>18</v>
      </c>
      <c r="C34" s="16" t="s">
        <v>19</v>
      </c>
      <c r="D34" s="2" t="s">
        <v>20</v>
      </c>
      <c r="E34" s="16" t="s">
        <v>18</v>
      </c>
      <c r="F34" s="11">
        <v>55649667</v>
      </c>
      <c r="G34" s="6">
        <v>43922</v>
      </c>
      <c r="H34" s="6">
        <v>44926</v>
      </c>
      <c r="I34" s="14" t="s">
        <v>66</v>
      </c>
      <c r="J34" s="15" t="s">
        <v>64</v>
      </c>
      <c r="K34" s="6">
        <v>44151</v>
      </c>
      <c r="L34" s="22" t="s">
        <v>65</v>
      </c>
      <c r="M34" s="4">
        <f>216000/1.95583</f>
        <v>110439.0463383832</v>
      </c>
      <c r="N34" s="7"/>
      <c r="O34" s="7" t="s">
        <v>21</v>
      </c>
    </row>
    <row r="35" spans="1:15" ht="57.6" x14ac:dyDescent="0.3">
      <c r="A35" s="18">
        <f t="shared" si="0"/>
        <v>33</v>
      </c>
      <c r="B35" s="20" t="s">
        <v>18</v>
      </c>
      <c r="C35" s="16" t="s">
        <v>19</v>
      </c>
      <c r="D35" s="2" t="s">
        <v>20</v>
      </c>
      <c r="E35" s="16" t="s">
        <v>18</v>
      </c>
      <c r="F35" s="11">
        <v>55649667</v>
      </c>
      <c r="G35" s="6">
        <v>43922</v>
      </c>
      <c r="H35" s="6">
        <v>44926</v>
      </c>
      <c r="I35" s="14" t="s">
        <v>67</v>
      </c>
      <c r="J35" s="15" t="s">
        <v>64</v>
      </c>
      <c r="K35" s="6">
        <v>44483</v>
      </c>
      <c r="L35" s="22" t="s">
        <v>68</v>
      </c>
      <c r="M35" s="4">
        <f>162000/1.95583</f>
        <v>82829.284753787389</v>
      </c>
      <c r="N35" s="7"/>
      <c r="O35" s="7" t="s">
        <v>21</v>
      </c>
    </row>
    <row r="36" spans="1:15" ht="57.6" x14ac:dyDescent="0.3">
      <c r="A36" s="18">
        <f t="shared" si="0"/>
        <v>34</v>
      </c>
      <c r="B36" s="20" t="s">
        <v>18</v>
      </c>
      <c r="C36" s="16" t="s">
        <v>19</v>
      </c>
      <c r="D36" s="2" t="s">
        <v>20</v>
      </c>
      <c r="E36" s="16" t="s">
        <v>18</v>
      </c>
      <c r="F36" s="11">
        <v>55649667</v>
      </c>
      <c r="G36" s="6">
        <v>43922</v>
      </c>
      <c r="H36" s="6">
        <v>44926</v>
      </c>
      <c r="I36" s="14" t="s">
        <v>70</v>
      </c>
      <c r="J36" s="15" t="s">
        <v>71</v>
      </c>
      <c r="K36" s="6">
        <v>44013</v>
      </c>
      <c r="L36" s="22" t="s">
        <v>72</v>
      </c>
      <c r="M36" s="4">
        <f>112500/1.95583</f>
        <v>57520.336634574582</v>
      </c>
      <c r="N36" s="7"/>
      <c r="O36" s="7" t="s">
        <v>21</v>
      </c>
    </row>
    <row r="37" spans="1:15" ht="57.6" x14ac:dyDescent="0.3">
      <c r="A37" s="18">
        <f t="shared" si="0"/>
        <v>35</v>
      </c>
      <c r="B37" s="20" t="s">
        <v>18</v>
      </c>
      <c r="C37" s="16" t="s">
        <v>19</v>
      </c>
      <c r="D37" s="2" t="s">
        <v>20</v>
      </c>
      <c r="E37" s="16" t="s">
        <v>18</v>
      </c>
      <c r="F37" s="11">
        <v>55649667</v>
      </c>
      <c r="G37" s="6">
        <v>43922</v>
      </c>
      <c r="H37" s="6">
        <v>44926</v>
      </c>
      <c r="I37" s="14" t="s">
        <v>75</v>
      </c>
      <c r="J37" s="15" t="s">
        <v>73</v>
      </c>
      <c r="K37" s="6">
        <v>44156</v>
      </c>
      <c r="L37" s="22" t="s">
        <v>74</v>
      </c>
      <c r="M37" s="4">
        <f>144983.49/1.95583</f>
        <v>74128.881344493129</v>
      </c>
      <c r="N37" s="7"/>
      <c r="O37" s="7" t="s">
        <v>21</v>
      </c>
    </row>
    <row r="38" spans="1:15" ht="57.6" x14ac:dyDescent="0.3">
      <c r="A38" s="18">
        <f t="shared" si="0"/>
        <v>36</v>
      </c>
      <c r="B38" s="20" t="s">
        <v>18</v>
      </c>
      <c r="C38" s="16" t="s">
        <v>19</v>
      </c>
      <c r="D38" s="2" t="s">
        <v>20</v>
      </c>
      <c r="E38" s="16" t="s">
        <v>18</v>
      </c>
      <c r="F38" s="11">
        <v>55649667</v>
      </c>
      <c r="G38" s="6">
        <v>43922</v>
      </c>
      <c r="H38" s="6">
        <v>44926</v>
      </c>
      <c r="I38" s="14" t="s">
        <v>81</v>
      </c>
      <c r="J38" s="15" t="s">
        <v>76</v>
      </c>
      <c r="K38" s="6">
        <v>43922</v>
      </c>
      <c r="L38" s="22" t="s">
        <v>77</v>
      </c>
      <c r="M38" s="4">
        <f>47545.74/1.95583</f>
        <v>24309.750847466294</v>
      </c>
      <c r="N38" s="7"/>
      <c r="O38" s="7" t="s">
        <v>21</v>
      </c>
    </row>
    <row r="39" spans="1:15" ht="57.6" x14ac:dyDescent="0.3">
      <c r="A39" s="18">
        <f t="shared" si="0"/>
        <v>37</v>
      </c>
      <c r="B39" s="20" t="s">
        <v>18</v>
      </c>
      <c r="C39" s="16" t="s">
        <v>19</v>
      </c>
      <c r="D39" s="2" t="s">
        <v>20</v>
      </c>
      <c r="E39" s="16" t="s">
        <v>18</v>
      </c>
      <c r="F39" s="11">
        <v>55649667</v>
      </c>
      <c r="G39" s="6">
        <v>43922</v>
      </c>
      <c r="H39" s="6">
        <v>44926</v>
      </c>
      <c r="I39" s="14" t="s">
        <v>80</v>
      </c>
      <c r="J39" s="15" t="s">
        <v>79</v>
      </c>
      <c r="K39" s="6">
        <v>44110</v>
      </c>
      <c r="L39" s="22" t="s">
        <v>78</v>
      </c>
      <c r="M39" s="4">
        <f>94527.11/1.95583</f>
        <v>48330.943895941877</v>
      </c>
      <c r="N39" s="7"/>
      <c r="O39" s="7" t="s">
        <v>21</v>
      </c>
    </row>
    <row r="40" spans="1:15" ht="57.6" x14ac:dyDescent="0.3">
      <c r="A40" s="18">
        <f t="shared" si="0"/>
        <v>38</v>
      </c>
      <c r="B40" s="20" t="s">
        <v>18</v>
      </c>
      <c r="C40" s="16" t="s">
        <v>19</v>
      </c>
      <c r="D40" s="2" t="s">
        <v>20</v>
      </c>
      <c r="E40" s="16" t="s">
        <v>18</v>
      </c>
      <c r="F40" s="11">
        <v>55649667</v>
      </c>
      <c r="G40" s="6">
        <v>43922</v>
      </c>
      <c r="H40" s="6">
        <v>44926</v>
      </c>
      <c r="I40" s="14" t="s">
        <v>82</v>
      </c>
      <c r="J40" s="15" t="s">
        <v>83</v>
      </c>
      <c r="K40" s="6">
        <v>43986</v>
      </c>
      <c r="L40" s="22" t="s">
        <v>84</v>
      </c>
      <c r="M40" s="4">
        <f>310639.24/1.95583</f>
        <v>158827.32139296361</v>
      </c>
      <c r="N40" s="7"/>
      <c r="O40" s="7" t="s">
        <v>21</v>
      </c>
    </row>
    <row r="41" spans="1:15" ht="57.6" x14ac:dyDescent="0.3">
      <c r="A41" s="18">
        <f t="shared" si="0"/>
        <v>39</v>
      </c>
      <c r="B41" s="20" t="s">
        <v>18</v>
      </c>
      <c r="C41" s="16" t="s">
        <v>19</v>
      </c>
      <c r="D41" s="2" t="s">
        <v>20</v>
      </c>
      <c r="E41" s="16" t="s">
        <v>18</v>
      </c>
      <c r="F41" s="11">
        <v>55649667</v>
      </c>
      <c r="G41" s="6">
        <v>43922</v>
      </c>
      <c r="H41" s="6">
        <v>44926</v>
      </c>
      <c r="I41" s="14" t="s">
        <v>550</v>
      </c>
      <c r="J41" s="15" t="s">
        <v>551</v>
      </c>
      <c r="K41" s="6">
        <v>44169</v>
      </c>
      <c r="L41" s="22" t="s">
        <v>552</v>
      </c>
      <c r="M41" s="4">
        <f>24323.01/1.95583</f>
        <v>12436.157539254433</v>
      </c>
      <c r="N41" s="7"/>
      <c r="O41" s="7" t="s">
        <v>21</v>
      </c>
    </row>
    <row r="42" spans="1:15" ht="57.6" x14ac:dyDescent="0.3">
      <c r="A42" s="18">
        <f t="shared" si="0"/>
        <v>40</v>
      </c>
      <c r="B42" s="20" t="s">
        <v>18</v>
      </c>
      <c r="C42" s="16" t="s">
        <v>19</v>
      </c>
      <c r="D42" s="2" t="s">
        <v>20</v>
      </c>
      <c r="E42" s="16" t="s">
        <v>18</v>
      </c>
      <c r="F42" s="11">
        <v>55649667</v>
      </c>
      <c r="G42" s="6">
        <v>43922</v>
      </c>
      <c r="H42" s="6">
        <v>44926</v>
      </c>
      <c r="I42" s="14" t="s">
        <v>86</v>
      </c>
      <c r="J42" s="15" t="s">
        <v>85</v>
      </c>
      <c r="K42" s="6">
        <v>44333</v>
      </c>
      <c r="L42" s="22" t="s">
        <v>87</v>
      </c>
      <c r="M42" s="4">
        <f>286679.05/1.95583</f>
        <v>146576.67077404479</v>
      </c>
      <c r="N42" s="7"/>
      <c r="O42" s="7" t="s">
        <v>21</v>
      </c>
    </row>
    <row r="43" spans="1:15" ht="57.6" x14ac:dyDescent="0.3">
      <c r="A43" s="18">
        <f t="shared" si="0"/>
        <v>41</v>
      </c>
      <c r="B43" s="20" t="s">
        <v>18</v>
      </c>
      <c r="C43" s="16" t="s">
        <v>19</v>
      </c>
      <c r="D43" s="2" t="s">
        <v>20</v>
      </c>
      <c r="E43" s="16" t="s">
        <v>18</v>
      </c>
      <c r="F43" s="11">
        <v>55649667</v>
      </c>
      <c r="G43" s="6">
        <v>43922</v>
      </c>
      <c r="H43" s="6">
        <v>44926</v>
      </c>
      <c r="I43" s="14" t="s">
        <v>88</v>
      </c>
      <c r="J43" s="15" t="s">
        <v>85</v>
      </c>
      <c r="K43" s="6">
        <v>44333</v>
      </c>
      <c r="L43" s="22" t="s">
        <v>89</v>
      </c>
      <c r="M43" s="4">
        <f>198933/1.95583</f>
        <v>101712.82780200733</v>
      </c>
      <c r="N43" s="7"/>
      <c r="O43" s="7" t="s">
        <v>21</v>
      </c>
    </row>
    <row r="44" spans="1:15" ht="57.6" x14ac:dyDescent="0.3">
      <c r="A44" s="18">
        <f t="shared" si="0"/>
        <v>42</v>
      </c>
      <c r="B44" s="20" t="s">
        <v>18</v>
      </c>
      <c r="C44" s="16" t="s">
        <v>19</v>
      </c>
      <c r="D44" s="2" t="s">
        <v>20</v>
      </c>
      <c r="E44" s="16" t="s">
        <v>18</v>
      </c>
      <c r="F44" s="11">
        <v>55649667</v>
      </c>
      <c r="G44" s="6">
        <v>43922</v>
      </c>
      <c r="H44" s="6">
        <v>44926</v>
      </c>
      <c r="I44" s="14" t="s">
        <v>90</v>
      </c>
      <c r="J44" s="15" t="s">
        <v>556</v>
      </c>
      <c r="K44" s="6">
        <v>44042</v>
      </c>
      <c r="L44" s="22" t="s">
        <v>91</v>
      </c>
      <c r="M44" s="4">
        <f>175679.58/1.95583</f>
        <v>89823.542945961555</v>
      </c>
      <c r="N44" s="7"/>
      <c r="O44" s="7" t="s">
        <v>21</v>
      </c>
    </row>
    <row r="45" spans="1:15" ht="57.6" x14ac:dyDescent="0.3">
      <c r="A45" s="18">
        <f t="shared" si="0"/>
        <v>43</v>
      </c>
      <c r="B45" s="20" t="s">
        <v>18</v>
      </c>
      <c r="C45" s="16" t="s">
        <v>19</v>
      </c>
      <c r="D45" s="2" t="s">
        <v>20</v>
      </c>
      <c r="E45" s="16" t="s">
        <v>18</v>
      </c>
      <c r="F45" s="11">
        <v>55649667</v>
      </c>
      <c r="G45" s="6">
        <v>43922</v>
      </c>
      <c r="H45" s="6">
        <v>44926</v>
      </c>
      <c r="I45" s="14" t="s">
        <v>94</v>
      </c>
      <c r="J45" s="15" t="s">
        <v>92</v>
      </c>
      <c r="K45" s="6">
        <v>44362</v>
      </c>
      <c r="L45" s="22" t="s">
        <v>93</v>
      </c>
      <c r="M45" s="4">
        <v>19173.439999999999</v>
      </c>
      <c r="N45" s="7"/>
      <c r="O45" s="7" t="s">
        <v>21</v>
      </c>
    </row>
    <row r="46" spans="1:15" ht="57.6" x14ac:dyDescent="0.3">
      <c r="A46" s="18">
        <f t="shared" si="0"/>
        <v>44</v>
      </c>
      <c r="B46" s="20" t="s">
        <v>18</v>
      </c>
      <c r="C46" s="16" t="s">
        <v>19</v>
      </c>
      <c r="D46" s="2" t="s">
        <v>20</v>
      </c>
      <c r="E46" s="16" t="s">
        <v>18</v>
      </c>
      <c r="F46" s="11">
        <v>55649667</v>
      </c>
      <c r="G46" s="6">
        <v>43922</v>
      </c>
      <c r="H46" s="6">
        <v>44926</v>
      </c>
      <c r="I46" s="14" t="s">
        <v>528</v>
      </c>
      <c r="J46" s="15" t="s">
        <v>92</v>
      </c>
      <c r="K46" s="6">
        <v>44125</v>
      </c>
      <c r="L46" s="22" t="s">
        <v>529</v>
      </c>
      <c r="M46" s="4">
        <f>23470/1.95583</f>
        <v>12000.020451675247</v>
      </c>
      <c r="N46" s="7"/>
      <c r="O46" s="7" t="s">
        <v>21</v>
      </c>
    </row>
    <row r="47" spans="1:15" ht="57.6" x14ac:dyDescent="0.3">
      <c r="A47" s="18">
        <f t="shared" si="0"/>
        <v>45</v>
      </c>
      <c r="B47" s="20" t="s">
        <v>18</v>
      </c>
      <c r="C47" s="16" t="s">
        <v>19</v>
      </c>
      <c r="D47" s="2" t="s">
        <v>20</v>
      </c>
      <c r="E47" s="16" t="s">
        <v>18</v>
      </c>
      <c r="F47" s="11">
        <v>55649667</v>
      </c>
      <c r="G47" s="6">
        <v>43922</v>
      </c>
      <c r="H47" s="6">
        <v>44926</v>
      </c>
      <c r="I47" s="14" t="s">
        <v>530</v>
      </c>
      <c r="J47" s="15" t="s">
        <v>92</v>
      </c>
      <c r="K47" s="6">
        <v>44102</v>
      </c>
      <c r="L47" s="22" t="s">
        <v>531</v>
      </c>
      <c r="M47" s="4">
        <f>27381.62/1.95583</f>
        <v>14000</v>
      </c>
      <c r="N47" s="7"/>
      <c r="O47" s="7" t="s">
        <v>21</v>
      </c>
    </row>
    <row r="48" spans="1:15" ht="57.6" x14ac:dyDescent="0.3">
      <c r="A48" s="18">
        <f t="shared" si="0"/>
        <v>46</v>
      </c>
      <c r="B48" s="20" t="s">
        <v>18</v>
      </c>
      <c r="C48" s="16" t="s">
        <v>19</v>
      </c>
      <c r="D48" s="2" t="s">
        <v>20</v>
      </c>
      <c r="E48" s="16" t="s">
        <v>18</v>
      </c>
      <c r="F48" s="11">
        <v>55649667</v>
      </c>
      <c r="G48" s="6">
        <v>43922</v>
      </c>
      <c r="H48" s="6">
        <v>44926</v>
      </c>
      <c r="I48" s="14" t="s">
        <v>518</v>
      </c>
      <c r="J48" s="15" t="s">
        <v>519</v>
      </c>
      <c r="K48" s="6">
        <v>44552</v>
      </c>
      <c r="L48" s="22" t="s">
        <v>520</v>
      </c>
      <c r="M48" s="4">
        <f>115000/1.95583</f>
        <v>58798.566337565127</v>
      </c>
      <c r="N48" s="7"/>
      <c r="O48" s="7" t="s">
        <v>21</v>
      </c>
    </row>
    <row r="49" spans="1:15" ht="57.6" x14ac:dyDescent="0.3">
      <c r="A49" s="18">
        <f t="shared" si="0"/>
        <v>47</v>
      </c>
      <c r="B49" s="20" t="s">
        <v>18</v>
      </c>
      <c r="C49" s="16" t="s">
        <v>19</v>
      </c>
      <c r="D49" s="2" t="s">
        <v>20</v>
      </c>
      <c r="E49" s="16" t="s">
        <v>18</v>
      </c>
      <c r="F49" s="11">
        <v>55649667</v>
      </c>
      <c r="G49" s="6">
        <v>43922</v>
      </c>
      <c r="H49" s="6">
        <v>44926</v>
      </c>
      <c r="I49" s="14" t="s">
        <v>97</v>
      </c>
      <c r="J49" s="15" t="s">
        <v>95</v>
      </c>
      <c r="K49" s="6">
        <v>43962</v>
      </c>
      <c r="L49" s="22" t="s">
        <v>96</v>
      </c>
      <c r="M49" s="4">
        <f>494141.19/1.95583</f>
        <v>252650.37861163804</v>
      </c>
      <c r="N49" s="7"/>
      <c r="O49" s="7" t="s">
        <v>21</v>
      </c>
    </row>
    <row r="50" spans="1:15" ht="57.6" x14ac:dyDescent="0.3">
      <c r="A50" s="18">
        <f t="shared" si="0"/>
        <v>48</v>
      </c>
      <c r="B50" s="20" t="s">
        <v>18</v>
      </c>
      <c r="C50" s="16" t="s">
        <v>19</v>
      </c>
      <c r="D50" s="2" t="s">
        <v>20</v>
      </c>
      <c r="E50" s="16" t="s">
        <v>18</v>
      </c>
      <c r="F50" s="11">
        <v>55649667</v>
      </c>
      <c r="G50" s="6">
        <v>43922</v>
      </c>
      <c r="H50" s="6">
        <v>44926</v>
      </c>
      <c r="I50" s="14" t="s">
        <v>111</v>
      </c>
      <c r="J50" s="15" t="s">
        <v>95</v>
      </c>
      <c r="K50" s="6">
        <v>44364</v>
      </c>
      <c r="L50" s="22" t="s">
        <v>110</v>
      </c>
      <c r="M50" s="4">
        <f>410326.14/1.95583</f>
        <v>209796.42402458293</v>
      </c>
      <c r="N50" s="7"/>
      <c r="O50" s="7" t="s">
        <v>21</v>
      </c>
    </row>
    <row r="51" spans="1:15" ht="57.6" x14ac:dyDescent="0.3">
      <c r="A51" s="18">
        <f t="shared" si="0"/>
        <v>49</v>
      </c>
      <c r="B51" s="20" t="s">
        <v>18</v>
      </c>
      <c r="C51" s="16" t="s">
        <v>19</v>
      </c>
      <c r="D51" s="2" t="s">
        <v>20</v>
      </c>
      <c r="E51" s="16" t="s">
        <v>18</v>
      </c>
      <c r="F51" s="11">
        <v>55649667</v>
      </c>
      <c r="G51" s="6">
        <v>43922</v>
      </c>
      <c r="H51" s="6">
        <v>44926</v>
      </c>
      <c r="I51" s="14" t="s">
        <v>479</v>
      </c>
      <c r="J51" s="15" t="s">
        <v>95</v>
      </c>
      <c r="K51" s="6">
        <v>44105</v>
      </c>
      <c r="L51" s="22" t="s">
        <v>474</v>
      </c>
      <c r="M51" s="4">
        <f>61967.89/1.95583</f>
        <v>31683.679051860337</v>
      </c>
      <c r="N51" s="7"/>
      <c r="O51" s="7" t="s">
        <v>21</v>
      </c>
    </row>
    <row r="52" spans="1:15" ht="57.6" x14ac:dyDescent="0.3">
      <c r="A52" s="18">
        <f t="shared" si="0"/>
        <v>50</v>
      </c>
      <c r="B52" s="20" t="s">
        <v>18</v>
      </c>
      <c r="C52" s="16" t="s">
        <v>19</v>
      </c>
      <c r="D52" s="2" t="s">
        <v>20</v>
      </c>
      <c r="E52" s="16" t="s">
        <v>18</v>
      </c>
      <c r="F52" s="11">
        <v>55649667</v>
      </c>
      <c r="G52" s="6">
        <v>43922</v>
      </c>
      <c r="H52" s="6">
        <v>44926</v>
      </c>
      <c r="I52" s="14" t="s">
        <v>484</v>
      </c>
      <c r="J52" s="15" t="s">
        <v>95</v>
      </c>
      <c r="K52" s="6">
        <v>44198</v>
      </c>
      <c r="L52" s="22" t="s">
        <v>485</v>
      </c>
      <c r="M52" s="4">
        <f>130188.34/1.95583</f>
        <v>66564.241268412894</v>
      </c>
      <c r="N52" s="7"/>
      <c r="O52" s="7" t="s">
        <v>21</v>
      </c>
    </row>
    <row r="53" spans="1:15" ht="57.6" x14ac:dyDescent="0.3">
      <c r="A53" s="18">
        <f t="shared" si="0"/>
        <v>51</v>
      </c>
      <c r="B53" s="20" t="s">
        <v>18</v>
      </c>
      <c r="C53" s="16" t="s">
        <v>19</v>
      </c>
      <c r="D53" s="2" t="s">
        <v>20</v>
      </c>
      <c r="E53" s="16" t="s">
        <v>18</v>
      </c>
      <c r="F53" s="11">
        <v>55649667</v>
      </c>
      <c r="G53" s="6">
        <v>43922</v>
      </c>
      <c r="H53" s="6">
        <v>44926</v>
      </c>
      <c r="I53" s="14" t="s">
        <v>526</v>
      </c>
      <c r="J53" s="15" t="s">
        <v>95</v>
      </c>
      <c r="K53" s="6">
        <v>44734</v>
      </c>
      <c r="L53" s="22" t="s">
        <v>527</v>
      </c>
      <c r="M53" s="4">
        <f>154302.25/1.95583</f>
        <v>78893.48767530921</v>
      </c>
      <c r="N53" s="7"/>
      <c r="O53" s="7" t="s">
        <v>21</v>
      </c>
    </row>
    <row r="54" spans="1:15" ht="57.6" x14ac:dyDescent="0.3">
      <c r="A54" s="18">
        <f t="shared" si="0"/>
        <v>52</v>
      </c>
      <c r="B54" s="20" t="s">
        <v>18</v>
      </c>
      <c r="C54" s="16" t="s">
        <v>19</v>
      </c>
      <c r="D54" s="2" t="s">
        <v>20</v>
      </c>
      <c r="E54" s="16" t="s">
        <v>18</v>
      </c>
      <c r="F54" s="11">
        <v>55649667</v>
      </c>
      <c r="G54" s="6">
        <v>43922</v>
      </c>
      <c r="H54" s="6">
        <v>44926</v>
      </c>
      <c r="I54" s="14" t="s">
        <v>478</v>
      </c>
      <c r="J54" s="15" t="s">
        <v>480</v>
      </c>
      <c r="K54" s="6">
        <v>44196</v>
      </c>
      <c r="L54" s="22" t="s">
        <v>481</v>
      </c>
      <c r="M54" s="4">
        <f>44618.55/1.95583</f>
        <v>22813.102365747538</v>
      </c>
      <c r="N54" s="7"/>
      <c r="O54" s="7" t="s">
        <v>21</v>
      </c>
    </row>
    <row r="55" spans="1:15" ht="57.6" x14ac:dyDescent="0.3">
      <c r="A55" s="18">
        <f t="shared" si="0"/>
        <v>53</v>
      </c>
      <c r="B55" s="20" t="s">
        <v>18</v>
      </c>
      <c r="C55" s="16" t="s">
        <v>19</v>
      </c>
      <c r="D55" s="2" t="s">
        <v>20</v>
      </c>
      <c r="E55" s="16" t="s">
        <v>18</v>
      </c>
      <c r="F55" s="11">
        <v>55649667</v>
      </c>
      <c r="G55" s="6">
        <v>43922</v>
      </c>
      <c r="H55" s="6">
        <v>44926</v>
      </c>
      <c r="I55" s="14" t="s">
        <v>501</v>
      </c>
      <c r="J55" s="15" t="s">
        <v>480</v>
      </c>
      <c r="K55" s="6">
        <v>44404</v>
      </c>
      <c r="L55" s="22" t="s">
        <v>502</v>
      </c>
      <c r="M55" s="4">
        <f>81316.07/1.95583</f>
        <v>41576.246401783392</v>
      </c>
      <c r="N55" s="7"/>
      <c r="O55" s="7" t="s">
        <v>21</v>
      </c>
    </row>
    <row r="56" spans="1:15" ht="57.6" x14ac:dyDescent="0.3">
      <c r="A56" s="18">
        <f t="shared" si="0"/>
        <v>54</v>
      </c>
      <c r="B56" s="20" t="s">
        <v>18</v>
      </c>
      <c r="C56" s="16" t="s">
        <v>19</v>
      </c>
      <c r="D56" s="2" t="s">
        <v>20</v>
      </c>
      <c r="E56" s="16" t="s">
        <v>18</v>
      </c>
      <c r="F56" s="11">
        <v>55649667</v>
      </c>
      <c r="G56" s="6">
        <v>43922</v>
      </c>
      <c r="H56" s="6">
        <v>44926</v>
      </c>
      <c r="I56" s="14" t="s">
        <v>532</v>
      </c>
      <c r="J56" s="15" t="s">
        <v>480</v>
      </c>
      <c r="K56" s="6">
        <v>44600</v>
      </c>
      <c r="L56" s="22" t="s">
        <v>533</v>
      </c>
      <c r="M56" s="4">
        <f>132807.14/1.95583</f>
        <v>67903.212446889564</v>
      </c>
      <c r="N56" s="7"/>
      <c r="O56" s="7" t="s">
        <v>21</v>
      </c>
    </row>
    <row r="57" spans="1:15" ht="57.6" x14ac:dyDescent="0.3">
      <c r="A57" s="18">
        <f t="shared" si="0"/>
        <v>55</v>
      </c>
      <c r="B57" s="20" t="s">
        <v>18</v>
      </c>
      <c r="C57" s="16" t="s">
        <v>19</v>
      </c>
      <c r="D57" s="2" t="s">
        <v>20</v>
      </c>
      <c r="E57" s="16" t="s">
        <v>18</v>
      </c>
      <c r="F57" s="11">
        <v>55649667</v>
      </c>
      <c r="G57" s="6">
        <v>43922</v>
      </c>
      <c r="H57" s="6">
        <v>44926</v>
      </c>
      <c r="I57" s="14" t="s">
        <v>117</v>
      </c>
      <c r="J57" s="15" t="s">
        <v>118</v>
      </c>
      <c r="K57" s="6">
        <v>44235</v>
      </c>
      <c r="L57" s="22" t="s">
        <v>122</v>
      </c>
      <c r="M57" s="4">
        <v>22896.92</v>
      </c>
      <c r="N57" s="7"/>
      <c r="O57" s="7" t="s">
        <v>21</v>
      </c>
    </row>
    <row r="58" spans="1:15" ht="57.6" x14ac:dyDescent="0.3">
      <c r="A58" s="18">
        <f t="shared" si="0"/>
        <v>56</v>
      </c>
      <c r="B58" s="20" t="s">
        <v>18</v>
      </c>
      <c r="C58" s="16" t="s">
        <v>19</v>
      </c>
      <c r="D58" s="2" t="s">
        <v>20</v>
      </c>
      <c r="E58" s="16" t="s">
        <v>18</v>
      </c>
      <c r="F58" s="11">
        <v>55649667</v>
      </c>
      <c r="G58" s="6">
        <v>43922</v>
      </c>
      <c r="H58" s="6">
        <v>44926</v>
      </c>
      <c r="I58" s="14" t="s">
        <v>98</v>
      </c>
      <c r="J58" s="15" t="s">
        <v>99</v>
      </c>
      <c r="K58" s="6">
        <v>44326</v>
      </c>
      <c r="L58" s="22" t="s">
        <v>100</v>
      </c>
      <c r="M58" s="4">
        <f>74000/1.95583</f>
        <v>37835.599208520165</v>
      </c>
      <c r="N58" s="7"/>
      <c r="O58" s="7" t="s">
        <v>21</v>
      </c>
    </row>
    <row r="59" spans="1:15" ht="57.6" x14ac:dyDescent="0.3">
      <c r="A59" s="18">
        <f t="shared" si="0"/>
        <v>57</v>
      </c>
      <c r="B59" s="20" t="s">
        <v>18</v>
      </c>
      <c r="C59" s="16" t="s">
        <v>19</v>
      </c>
      <c r="D59" s="2" t="s">
        <v>20</v>
      </c>
      <c r="E59" s="16" t="s">
        <v>18</v>
      </c>
      <c r="F59" s="11">
        <v>55649667</v>
      </c>
      <c r="G59" s="6">
        <v>43922</v>
      </c>
      <c r="H59" s="6">
        <v>44926</v>
      </c>
      <c r="I59" s="14" t="s">
        <v>101</v>
      </c>
      <c r="J59" s="15" t="s">
        <v>102</v>
      </c>
      <c r="K59" s="6">
        <v>44358</v>
      </c>
      <c r="L59" s="22" t="s">
        <v>103</v>
      </c>
      <c r="M59" s="4">
        <f>289150.8/1.95583</f>
        <v>147840.45648139153</v>
      </c>
      <c r="N59" s="7"/>
      <c r="O59" s="7" t="s">
        <v>21</v>
      </c>
    </row>
    <row r="60" spans="1:15" ht="57.6" x14ac:dyDescent="0.3">
      <c r="A60" s="18">
        <f t="shared" si="0"/>
        <v>58</v>
      </c>
      <c r="B60" s="20" t="s">
        <v>18</v>
      </c>
      <c r="C60" s="16" t="s">
        <v>19</v>
      </c>
      <c r="D60" s="2" t="s">
        <v>20</v>
      </c>
      <c r="E60" s="16" t="s">
        <v>18</v>
      </c>
      <c r="F60" s="11">
        <v>55649667</v>
      </c>
      <c r="G60" s="6">
        <v>43922</v>
      </c>
      <c r="H60" s="6">
        <v>44926</v>
      </c>
      <c r="I60" s="14" t="s">
        <v>104</v>
      </c>
      <c r="J60" s="15" t="s">
        <v>102</v>
      </c>
      <c r="K60" s="6">
        <v>44613</v>
      </c>
      <c r="L60" s="22" t="s">
        <v>105</v>
      </c>
      <c r="M60" s="4">
        <f>362779.2/1.95583</f>
        <v>185486.05962685921</v>
      </c>
      <c r="N60" s="7"/>
      <c r="O60" s="7" t="s">
        <v>21</v>
      </c>
    </row>
    <row r="61" spans="1:15" ht="57.6" x14ac:dyDescent="0.3">
      <c r="A61" s="18">
        <f t="shared" si="0"/>
        <v>59</v>
      </c>
      <c r="B61" s="20" t="s">
        <v>18</v>
      </c>
      <c r="C61" s="16" t="s">
        <v>19</v>
      </c>
      <c r="D61" s="2" t="s">
        <v>20</v>
      </c>
      <c r="E61" s="16" t="s">
        <v>18</v>
      </c>
      <c r="F61" s="11">
        <v>55649667</v>
      </c>
      <c r="G61" s="6">
        <v>43922</v>
      </c>
      <c r="H61" s="6">
        <v>44926</v>
      </c>
      <c r="I61" s="14" t="s">
        <v>106</v>
      </c>
      <c r="J61" s="15" t="s">
        <v>102</v>
      </c>
      <c r="K61" s="6">
        <v>44202</v>
      </c>
      <c r="L61" s="22" t="s">
        <v>107</v>
      </c>
      <c r="M61" s="4">
        <f>52000/1.95583</f>
        <v>26587.177822203361</v>
      </c>
      <c r="N61" s="7"/>
      <c r="O61" s="7" t="s">
        <v>21</v>
      </c>
    </row>
    <row r="62" spans="1:15" ht="57.6" x14ac:dyDescent="0.3">
      <c r="A62" s="18">
        <f t="shared" si="0"/>
        <v>60</v>
      </c>
      <c r="B62" s="20" t="s">
        <v>18</v>
      </c>
      <c r="C62" s="16" t="s">
        <v>19</v>
      </c>
      <c r="D62" s="2" t="s">
        <v>20</v>
      </c>
      <c r="E62" s="16" t="s">
        <v>18</v>
      </c>
      <c r="F62" s="11">
        <v>55649667</v>
      </c>
      <c r="G62" s="6">
        <v>43922</v>
      </c>
      <c r="H62" s="6">
        <v>44926</v>
      </c>
      <c r="I62" s="14" t="s">
        <v>108</v>
      </c>
      <c r="J62" s="15" t="s">
        <v>102</v>
      </c>
      <c r="K62" s="6">
        <v>44208</v>
      </c>
      <c r="L62" s="22" t="s">
        <v>109</v>
      </c>
      <c r="M62" s="4">
        <f>25350/1.95583</f>
        <v>12961.249188324138</v>
      </c>
      <c r="N62" s="7"/>
      <c r="O62" s="7" t="s">
        <v>21</v>
      </c>
    </row>
    <row r="63" spans="1:15" ht="57.6" x14ac:dyDescent="0.3">
      <c r="A63" s="18">
        <f t="shared" si="0"/>
        <v>61</v>
      </c>
      <c r="B63" s="20" t="s">
        <v>18</v>
      </c>
      <c r="C63" s="16" t="s">
        <v>19</v>
      </c>
      <c r="D63" s="2" t="s">
        <v>20</v>
      </c>
      <c r="E63" s="16" t="s">
        <v>18</v>
      </c>
      <c r="F63" s="11">
        <v>55649667</v>
      </c>
      <c r="G63" s="6">
        <v>43922</v>
      </c>
      <c r="H63" s="6">
        <v>44926</v>
      </c>
      <c r="I63" s="14" t="s">
        <v>113</v>
      </c>
      <c r="J63" s="15" t="s">
        <v>115</v>
      </c>
      <c r="K63" s="6">
        <v>44552</v>
      </c>
      <c r="L63" s="22" t="s">
        <v>112</v>
      </c>
      <c r="M63" s="4">
        <f>949189/1.95583</f>
        <v>485312.62942075741</v>
      </c>
      <c r="N63" s="7"/>
      <c r="O63" s="7" t="s">
        <v>21</v>
      </c>
    </row>
    <row r="64" spans="1:15" ht="57.6" x14ac:dyDescent="0.3">
      <c r="A64" s="18">
        <f t="shared" si="0"/>
        <v>62</v>
      </c>
      <c r="B64" s="20" t="s">
        <v>18</v>
      </c>
      <c r="C64" s="16" t="s">
        <v>19</v>
      </c>
      <c r="D64" s="2" t="s">
        <v>20</v>
      </c>
      <c r="E64" s="16" t="s">
        <v>18</v>
      </c>
      <c r="F64" s="11">
        <v>55649667</v>
      </c>
      <c r="G64" s="6">
        <v>43922</v>
      </c>
      <c r="H64" s="6">
        <v>44926</v>
      </c>
      <c r="I64" s="14" t="s">
        <v>114</v>
      </c>
      <c r="J64" s="15" t="s">
        <v>115</v>
      </c>
      <c r="K64" s="6">
        <v>44700</v>
      </c>
      <c r="L64" s="22" t="s">
        <v>116</v>
      </c>
      <c r="M64" s="4">
        <f>239190/1.95583</f>
        <v>122295.9050633235</v>
      </c>
      <c r="N64" s="7"/>
      <c r="O64" s="7" t="s">
        <v>21</v>
      </c>
    </row>
    <row r="65" spans="1:15" ht="57.6" x14ac:dyDescent="0.3">
      <c r="A65" s="18">
        <f t="shared" si="0"/>
        <v>63</v>
      </c>
      <c r="B65" s="20" t="s">
        <v>18</v>
      </c>
      <c r="C65" s="16" t="s">
        <v>19</v>
      </c>
      <c r="D65" s="2" t="s">
        <v>20</v>
      </c>
      <c r="E65" s="16" t="s">
        <v>18</v>
      </c>
      <c r="F65" s="11">
        <v>55649667</v>
      </c>
      <c r="G65" s="6">
        <v>43922</v>
      </c>
      <c r="H65" s="6">
        <v>44926</v>
      </c>
      <c r="I65" s="14" t="s">
        <v>121</v>
      </c>
      <c r="J65" s="15" t="s">
        <v>115</v>
      </c>
      <c r="K65" s="6">
        <v>44798</v>
      </c>
      <c r="L65" s="22" t="s">
        <v>119</v>
      </c>
      <c r="M65" s="4">
        <f>313873.05/1.95583</f>
        <v>160480.74219129473</v>
      </c>
      <c r="N65" s="7"/>
      <c r="O65" s="7" t="s">
        <v>21</v>
      </c>
    </row>
    <row r="66" spans="1:15" ht="57.6" x14ac:dyDescent="0.3">
      <c r="A66" s="18">
        <f t="shared" si="0"/>
        <v>64</v>
      </c>
      <c r="B66" s="20" t="s">
        <v>18</v>
      </c>
      <c r="C66" s="16" t="s">
        <v>19</v>
      </c>
      <c r="D66" s="2" t="s">
        <v>20</v>
      </c>
      <c r="E66" s="16" t="s">
        <v>18</v>
      </c>
      <c r="F66" s="11">
        <v>55649667</v>
      </c>
      <c r="G66" s="6">
        <v>43922</v>
      </c>
      <c r="H66" s="6">
        <v>44926</v>
      </c>
      <c r="I66" s="14" t="s">
        <v>121</v>
      </c>
      <c r="J66" s="15" t="s">
        <v>115</v>
      </c>
      <c r="K66" s="6">
        <v>43922</v>
      </c>
      <c r="L66" s="22" t="s">
        <v>120</v>
      </c>
      <c r="M66" s="4">
        <f>99751/1.95583</f>
        <v>51001.876441203989</v>
      </c>
      <c r="N66" s="7"/>
      <c r="O66" s="7" t="s">
        <v>21</v>
      </c>
    </row>
    <row r="67" spans="1:15" ht="57.6" x14ac:dyDescent="0.3">
      <c r="A67" s="18">
        <f t="shared" si="0"/>
        <v>65</v>
      </c>
      <c r="B67" s="20" t="s">
        <v>18</v>
      </c>
      <c r="C67" s="16" t="s">
        <v>19</v>
      </c>
      <c r="D67" s="2" t="s">
        <v>20</v>
      </c>
      <c r="E67" s="16" t="s">
        <v>18</v>
      </c>
      <c r="F67" s="11">
        <v>55649667</v>
      </c>
      <c r="G67" s="6">
        <v>43922</v>
      </c>
      <c r="H67" s="6">
        <v>44926</v>
      </c>
      <c r="I67" s="14" t="s">
        <v>121</v>
      </c>
      <c r="J67" s="15" t="s">
        <v>115</v>
      </c>
      <c r="K67" s="6">
        <v>44050</v>
      </c>
      <c r="L67" s="22" t="s">
        <v>123</v>
      </c>
      <c r="M67" s="4">
        <f>2442570.24/1.955836</f>
        <v>1248862.5017639517</v>
      </c>
      <c r="N67" s="7"/>
      <c r="O67" s="7" t="s">
        <v>21</v>
      </c>
    </row>
    <row r="68" spans="1:15" ht="57.6" x14ac:dyDescent="0.3">
      <c r="A68" s="18">
        <f t="shared" si="0"/>
        <v>66</v>
      </c>
      <c r="B68" s="20" t="s">
        <v>18</v>
      </c>
      <c r="C68" s="16" t="s">
        <v>19</v>
      </c>
      <c r="D68" s="2" t="s">
        <v>20</v>
      </c>
      <c r="E68" s="16" t="s">
        <v>18</v>
      </c>
      <c r="F68" s="11">
        <v>55649667</v>
      </c>
      <c r="G68" s="6">
        <v>43922</v>
      </c>
      <c r="H68" s="6">
        <v>44926</v>
      </c>
      <c r="I68" s="14" t="s">
        <v>131</v>
      </c>
      <c r="J68" s="15" t="s">
        <v>115</v>
      </c>
      <c r="K68" s="6">
        <v>44117</v>
      </c>
      <c r="L68" s="28" t="s">
        <v>124</v>
      </c>
      <c r="M68" s="4">
        <f>(186000+117715.2+186000+246734.4)/1.95583</f>
        <v>376540.70139020262</v>
      </c>
      <c r="N68" s="7"/>
      <c r="O68" s="7" t="s">
        <v>21</v>
      </c>
    </row>
    <row r="69" spans="1:15" ht="57.6" x14ac:dyDescent="0.3">
      <c r="A69" s="18">
        <f t="shared" ref="A69:A132" si="1">+A68+1</f>
        <v>67</v>
      </c>
      <c r="B69" s="20" t="s">
        <v>18</v>
      </c>
      <c r="C69" s="16" t="s">
        <v>19</v>
      </c>
      <c r="D69" s="2" t="s">
        <v>20</v>
      </c>
      <c r="E69" s="16" t="s">
        <v>18</v>
      </c>
      <c r="F69" s="11">
        <v>55649667</v>
      </c>
      <c r="G69" s="6">
        <v>43922</v>
      </c>
      <c r="H69" s="6">
        <v>44926</v>
      </c>
      <c r="I69" s="14" t="s">
        <v>121</v>
      </c>
      <c r="J69" s="15" t="s">
        <v>115</v>
      </c>
      <c r="K69" s="6">
        <v>44182</v>
      </c>
      <c r="L69" s="22" t="s">
        <v>125</v>
      </c>
      <c r="M69" s="4">
        <f>971188/1.95583</f>
        <v>496560.53951519303</v>
      </c>
      <c r="N69" s="7"/>
      <c r="O69" s="7" t="s">
        <v>21</v>
      </c>
    </row>
    <row r="70" spans="1:15" ht="57.6" x14ac:dyDescent="0.3">
      <c r="A70" s="18">
        <f t="shared" si="1"/>
        <v>68</v>
      </c>
      <c r="B70" s="20" t="s">
        <v>18</v>
      </c>
      <c r="C70" s="16" t="s">
        <v>19</v>
      </c>
      <c r="D70" s="2" t="s">
        <v>20</v>
      </c>
      <c r="E70" s="16" t="s">
        <v>18</v>
      </c>
      <c r="F70" s="11">
        <v>55649667</v>
      </c>
      <c r="G70" s="6">
        <v>43922</v>
      </c>
      <c r="H70" s="6">
        <v>44926</v>
      </c>
      <c r="I70" s="14" t="s">
        <v>132</v>
      </c>
      <c r="J70" s="15" t="s">
        <v>115</v>
      </c>
      <c r="K70" s="6">
        <v>44208</v>
      </c>
      <c r="L70" s="22" t="s">
        <v>126</v>
      </c>
      <c r="M70" s="4">
        <f>168650/1.95583</f>
        <v>86229.375763742253</v>
      </c>
      <c r="N70" s="7"/>
      <c r="O70" s="7" t="s">
        <v>21</v>
      </c>
    </row>
    <row r="71" spans="1:15" ht="57.6" x14ac:dyDescent="0.3">
      <c r="A71" s="18">
        <f t="shared" si="1"/>
        <v>69</v>
      </c>
      <c r="B71" s="20" t="s">
        <v>18</v>
      </c>
      <c r="C71" s="16" t="s">
        <v>19</v>
      </c>
      <c r="D71" s="2" t="s">
        <v>20</v>
      </c>
      <c r="E71" s="16" t="s">
        <v>18</v>
      </c>
      <c r="F71" s="11">
        <v>55649667</v>
      </c>
      <c r="G71" s="6">
        <v>43922</v>
      </c>
      <c r="H71" s="6">
        <v>44926</v>
      </c>
      <c r="I71" s="14" t="s">
        <v>137</v>
      </c>
      <c r="J71" s="15" t="s">
        <v>115</v>
      </c>
      <c r="K71" s="6">
        <v>44019</v>
      </c>
      <c r="L71" s="22" t="s">
        <v>136</v>
      </c>
      <c r="M71" s="4">
        <f>(600412.77+75750.56+85613.43+52847.42+61259.66+156321.53+55650.48+86113.13+166891.55+45408.48+69570.08+44638.49+49220.21+65381.98+165439.34+77905.47+46967.71+225544.53+87210.78+46792.39+420858.46+364989.86+200020.37+807713.04)/1.95583</f>
        <v>2075089.2050945123</v>
      </c>
      <c r="N71" s="7"/>
      <c r="O71" s="7" t="s">
        <v>21</v>
      </c>
    </row>
    <row r="72" spans="1:15" ht="57.6" x14ac:dyDescent="0.3">
      <c r="A72" s="18">
        <f t="shared" si="1"/>
        <v>70</v>
      </c>
      <c r="B72" s="20" t="s">
        <v>18</v>
      </c>
      <c r="C72" s="16" t="s">
        <v>19</v>
      </c>
      <c r="D72" s="2" t="s">
        <v>20</v>
      </c>
      <c r="E72" s="16" t="s">
        <v>18</v>
      </c>
      <c r="F72" s="11">
        <v>55649667</v>
      </c>
      <c r="G72" s="6">
        <v>43922</v>
      </c>
      <c r="H72" s="6">
        <v>44926</v>
      </c>
      <c r="I72" s="14" t="s">
        <v>138</v>
      </c>
      <c r="J72" s="15" t="s">
        <v>115</v>
      </c>
      <c r="K72" s="6">
        <v>43997</v>
      </c>
      <c r="L72" s="22" t="s">
        <v>139</v>
      </c>
      <c r="M72" s="4">
        <f>(909878.1+513475.22+980651.37)/1.95583</f>
        <v>1229148.0803546321</v>
      </c>
      <c r="N72" s="7"/>
      <c r="O72" s="7" t="s">
        <v>21</v>
      </c>
    </row>
    <row r="73" spans="1:15" ht="57.6" x14ac:dyDescent="0.3">
      <c r="A73" s="18">
        <f t="shared" si="1"/>
        <v>71</v>
      </c>
      <c r="B73" s="20" t="s">
        <v>18</v>
      </c>
      <c r="C73" s="16" t="s">
        <v>19</v>
      </c>
      <c r="D73" s="2" t="s">
        <v>20</v>
      </c>
      <c r="E73" s="16" t="s">
        <v>18</v>
      </c>
      <c r="F73" s="11">
        <v>55649667</v>
      </c>
      <c r="G73" s="6">
        <v>43922</v>
      </c>
      <c r="H73" s="6">
        <v>44926</v>
      </c>
      <c r="I73" s="14" t="s">
        <v>138</v>
      </c>
      <c r="J73" s="15" t="s">
        <v>115</v>
      </c>
      <c r="K73" s="6">
        <v>43922</v>
      </c>
      <c r="L73" s="22" t="s">
        <v>120</v>
      </c>
      <c r="M73" s="4">
        <f>81888.09/1.95583</f>
        <v>41868.715583665246</v>
      </c>
      <c r="N73" s="7"/>
      <c r="O73" s="7" t="s">
        <v>21</v>
      </c>
    </row>
    <row r="74" spans="1:15" ht="57.6" x14ac:dyDescent="0.3">
      <c r="A74" s="18">
        <f t="shared" si="1"/>
        <v>72</v>
      </c>
      <c r="B74" s="20" t="s">
        <v>18</v>
      </c>
      <c r="C74" s="16" t="s">
        <v>19</v>
      </c>
      <c r="D74" s="2" t="s">
        <v>20</v>
      </c>
      <c r="E74" s="16" t="s">
        <v>18</v>
      </c>
      <c r="F74" s="11">
        <v>55649667</v>
      </c>
      <c r="G74" s="6">
        <v>43922</v>
      </c>
      <c r="H74" s="6">
        <v>44926</v>
      </c>
      <c r="I74" s="14" t="s">
        <v>138</v>
      </c>
      <c r="J74" s="15" t="s">
        <v>115</v>
      </c>
      <c r="K74" s="6">
        <v>44207</v>
      </c>
      <c r="L74" s="22" t="s">
        <v>142</v>
      </c>
      <c r="M74" s="4">
        <f>(1344512.84+160822.39+2862449.03)/1.95583</f>
        <v>2233212.630954633</v>
      </c>
      <c r="N74" s="7"/>
      <c r="O74" s="7" t="s">
        <v>21</v>
      </c>
    </row>
    <row r="75" spans="1:15" ht="57.6" x14ac:dyDescent="0.3">
      <c r="A75" s="18">
        <f t="shared" si="1"/>
        <v>73</v>
      </c>
      <c r="B75" s="20" t="s">
        <v>18</v>
      </c>
      <c r="C75" s="16" t="s">
        <v>19</v>
      </c>
      <c r="D75" s="2" t="s">
        <v>20</v>
      </c>
      <c r="E75" s="16" t="s">
        <v>18</v>
      </c>
      <c r="F75" s="11">
        <v>55649667</v>
      </c>
      <c r="G75" s="6">
        <v>43922</v>
      </c>
      <c r="H75" s="6">
        <v>44926</v>
      </c>
      <c r="I75" s="14" t="s">
        <v>141</v>
      </c>
      <c r="J75" s="15" t="s">
        <v>115</v>
      </c>
      <c r="K75" s="6">
        <v>43988</v>
      </c>
      <c r="L75" s="22" t="s">
        <v>140</v>
      </c>
      <c r="M75" s="4">
        <f>(3723.67+1048.88+84844.67+53387.92)/1.9553</f>
        <v>73137.186109548406</v>
      </c>
      <c r="N75" s="7"/>
      <c r="O75" s="7" t="s">
        <v>21</v>
      </c>
    </row>
    <row r="76" spans="1:15" ht="57.6" x14ac:dyDescent="0.3">
      <c r="A76" s="18">
        <f t="shared" si="1"/>
        <v>74</v>
      </c>
      <c r="B76" s="20" t="s">
        <v>18</v>
      </c>
      <c r="C76" s="16" t="s">
        <v>19</v>
      </c>
      <c r="D76" s="2" t="s">
        <v>20</v>
      </c>
      <c r="E76" s="16" t="s">
        <v>18</v>
      </c>
      <c r="F76" s="11">
        <v>55649667</v>
      </c>
      <c r="G76" s="6">
        <v>43922</v>
      </c>
      <c r="H76" s="6">
        <v>44926</v>
      </c>
      <c r="I76" s="14" t="s">
        <v>143</v>
      </c>
      <c r="J76" s="15" t="s">
        <v>115</v>
      </c>
      <c r="K76" s="6" t="s">
        <v>144</v>
      </c>
      <c r="L76" s="22" t="s">
        <v>145</v>
      </c>
      <c r="M76" s="4">
        <f>(319366.36+210584.46+22643.19+65567.64+143024.41+360732.79+38238.49+33557.91+55237.81+65236.63+94448.47+86361.39+103511.71+108724.12+326132.73)/1.95583</f>
        <v>1039644.606126299</v>
      </c>
      <c r="N76" s="7"/>
      <c r="O76" s="7" t="s">
        <v>21</v>
      </c>
    </row>
    <row r="77" spans="1:15" ht="57.6" x14ac:dyDescent="0.3">
      <c r="A77" s="18">
        <f t="shared" si="1"/>
        <v>75</v>
      </c>
      <c r="B77" s="20" t="s">
        <v>18</v>
      </c>
      <c r="C77" s="16" t="s">
        <v>19</v>
      </c>
      <c r="D77" s="2" t="s">
        <v>20</v>
      </c>
      <c r="E77" s="16" t="s">
        <v>18</v>
      </c>
      <c r="F77" s="11">
        <v>55649667</v>
      </c>
      <c r="G77" s="6">
        <v>43922</v>
      </c>
      <c r="H77" s="6">
        <v>44926</v>
      </c>
      <c r="I77" s="14" t="s">
        <v>146</v>
      </c>
      <c r="J77" s="15" t="s">
        <v>115</v>
      </c>
      <c r="K77" s="26">
        <v>44117</v>
      </c>
      <c r="L77" s="27" t="s">
        <v>147</v>
      </c>
      <c r="M77" s="4">
        <f>260000/1.95583</f>
        <v>132935.88911101682</v>
      </c>
      <c r="N77" s="7"/>
      <c r="O77" s="7" t="s">
        <v>21</v>
      </c>
    </row>
    <row r="78" spans="1:15" ht="57.6" x14ac:dyDescent="0.3">
      <c r="A78" s="18">
        <f t="shared" si="1"/>
        <v>76</v>
      </c>
      <c r="B78" s="20" t="s">
        <v>18</v>
      </c>
      <c r="C78" s="16" t="s">
        <v>19</v>
      </c>
      <c r="D78" s="2" t="s">
        <v>20</v>
      </c>
      <c r="E78" s="16" t="s">
        <v>18</v>
      </c>
      <c r="F78" s="11">
        <v>55649667</v>
      </c>
      <c r="G78" s="6">
        <v>43922</v>
      </c>
      <c r="H78" s="6">
        <v>44926</v>
      </c>
      <c r="I78" s="14" t="s">
        <v>148</v>
      </c>
      <c r="J78" s="15" t="s">
        <v>115</v>
      </c>
      <c r="K78" s="6">
        <v>44207</v>
      </c>
      <c r="L78" s="22" t="s">
        <v>149</v>
      </c>
      <c r="M78" s="4">
        <f>(49115+1365.5+14975)/1.95583</f>
        <v>33466.865729639081</v>
      </c>
      <c r="N78" s="7"/>
      <c r="O78" s="7" t="s">
        <v>21</v>
      </c>
    </row>
    <row r="79" spans="1:15" ht="57.6" x14ac:dyDescent="0.3">
      <c r="A79" s="18">
        <f t="shared" si="1"/>
        <v>77</v>
      </c>
      <c r="B79" s="20" t="s">
        <v>18</v>
      </c>
      <c r="C79" s="16" t="s">
        <v>19</v>
      </c>
      <c r="D79" s="2" t="s">
        <v>20</v>
      </c>
      <c r="E79" s="16" t="s">
        <v>18</v>
      </c>
      <c r="F79" s="11">
        <v>55649667</v>
      </c>
      <c r="G79" s="6">
        <v>43922</v>
      </c>
      <c r="H79" s="6">
        <v>44926</v>
      </c>
      <c r="I79" s="14" t="s">
        <v>148</v>
      </c>
      <c r="J79" s="15" t="s">
        <v>115</v>
      </c>
      <c r="K79" s="6">
        <v>44013</v>
      </c>
      <c r="L79" s="22" t="s">
        <v>152</v>
      </c>
      <c r="M79" s="4">
        <f>(1970+5980+19825)/1.95583</f>
        <v>14201.132000224969</v>
      </c>
      <c r="N79" s="7"/>
      <c r="O79" s="7" t="s">
        <v>21</v>
      </c>
    </row>
    <row r="80" spans="1:15" ht="57.6" x14ac:dyDescent="0.3">
      <c r="A80" s="18">
        <f t="shared" si="1"/>
        <v>78</v>
      </c>
      <c r="B80" s="20" t="s">
        <v>18</v>
      </c>
      <c r="C80" s="16" t="s">
        <v>19</v>
      </c>
      <c r="D80" s="2" t="s">
        <v>20</v>
      </c>
      <c r="E80" s="16" t="s">
        <v>18</v>
      </c>
      <c r="F80" s="11">
        <v>55649667</v>
      </c>
      <c r="G80" s="6">
        <v>43922</v>
      </c>
      <c r="H80" s="6">
        <v>44926</v>
      </c>
      <c r="I80" s="14" t="s">
        <v>150</v>
      </c>
      <c r="J80" s="15" t="s">
        <v>115</v>
      </c>
      <c r="K80" s="6">
        <v>44489</v>
      </c>
      <c r="L80" s="22" t="s">
        <v>151</v>
      </c>
      <c r="M80" s="4">
        <f>(32710.5+16459.5+1656+3560)/1.95583</f>
        <v>27807.120250737538</v>
      </c>
      <c r="N80" s="7"/>
      <c r="O80" s="7" t="s">
        <v>21</v>
      </c>
    </row>
    <row r="81" spans="1:15" ht="57.6" x14ac:dyDescent="0.3">
      <c r="A81" s="18">
        <f t="shared" si="1"/>
        <v>79</v>
      </c>
      <c r="B81" s="20" t="s">
        <v>18</v>
      </c>
      <c r="C81" s="16" t="s">
        <v>19</v>
      </c>
      <c r="D81" s="2" t="s">
        <v>20</v>
      </c>
      <c r="E81" s="16" t="s">
        <v>18</v>
      </c>
      <c r="F81" s="11">
        <v>55649667</v>
      </c>
      <c r="G81" s="6">
        <v>43922</v>
      </c>
      <c r="H81" s="6">
        <v>44926</v>
      </c>
      <c r="I81" s="14" t="s">
        <v>148</v>
      </c>
      <c r="J81" s="15" t="s">
        <v>115</v>
      </c>
      <c r="K81" s="6">
        <v>44621</v>
      </c>
      <c r="L81" s="22" t="s">
        <v>153</v>
      </c>
      <c r="M81" s="4">
        <f>(2580+8920+10785)/1.95583</f>
        <v>11394.139572457729</v>
      </c>
      <c r="N81" s="7"/>
      <c r="O81" s="7" t="s">
        <v>21</v>
      </c>
    </row>
    <row r="82" spans="1:15" ht="57.6" x14ac:dyDescent="0.3">
      <c r="A82" s="18">
        <f t="shared" si="1"/>
        <v>80</v>
      </c>
      <c r="B82" s="20" t="s">
        <v>18</v>
      </c>
      <c r="C82" s="16" t="s">
        <v>19</v>
      </c>
      <c r="D82" s="2" t="s">
        <v>20</v>
      </c>
      <c r="E82" s="16" t="s">
        <v>18</v>
      </c>
      <c r="F82" s="11">
        <v>55649667</v>
      </c>
      <c r="G82" s="6">
        <v>43922</v>
      </c>
      <c r="H82" s="6">
        <v>44926</v>
      </c>
      <c r="I82" s="14" t="s">
        <v>154</v>
      </c>
      <c r="J82" s="15" t="s">
        <v>115</v>
      </c>
      <c r="K82" s="6">
        <v>44599</v>
      </c>
      <c r="L82" s="22" t="s">
        <v>155</v>
      </c>
      <c r="M82" s="4">
        <f>66011.5/1.95583</f>
        <v>33751.144015584177</v>
      </c>
      <c r="N82" s="7"/>
      <c r="O82" s="7" t="s">
        <v>21</v>
      </c>
    </row>
    <row r="83" spans="1:15" ht="57.6" x14ac:dyDescent="0.3">
      <c r="A83" s="18">
        <f t="shared" si="1"/>
        <v>81</v>
      </c>
      <c r="B83" s="20" t="s">
        <v>18</v>
      </c>
      <c r="C83" s="16" t="s">
        <v>19</v>
      </c>
      <c r="D83" s="2" t="s">
        <v>20</v>
      </c>
      <c r="E83" s="16" t="s">
        <v>18</v>
      </c>
      <c r="F83" s="11">
        <v>55649667</v>
      </c>
      <c r="G83" s="6">
        <v>43922</v>
      </c>
      <c r="H83" s="6">
        <v>44926</v>
      </c>
      <c r="I83" s="14" t="s">
        <v>156</v>
      </c>
      <c r="J83" s="15" t="s">
        <v>157</v>
      </c>
      <c r="K83" s="6">
        <v>44337</v>
      </c>
      <c r="L83" s="22" t="s">
        <v>158</v>
      </c>
      <c r="M83" s="4">
        <f>68486.67/1.95583</f>
        <v>35016.678341164617</v>
      </c>
      <c r="N83" s="7"/>
      <c r="O83" s="7" t="s">
        <v>21</v>
      </c>
    </row>
    <row r="84" spans="1:15" ht="57.6" x14ac:dyDescent="0.3">
      <c r="A84" s="18">
        <f t="shared" si="1"/>
        <v>82</v>
      </c>
      <c r="B84" s="20" t="s">
        <v>18</v>
      </c>
      <c r="C84" s="16" t="s">
        <v>19</v>
      </c>
      <c r="D84" s="2" t="s">
        <v>20</v>
      </c>
      <c r="E84" s="16" t="s">
        <v>18</v>
      </c>
      <c r="F84" s="11">
        <v>55649667</v>
      </c>
      <c r="G84" s="6">
        <v>43922</v>
      </c>
      <c r="H84" s="6">
        <v>44926</v>
      </c>
      <c r="I84" s="14" t="s">
        <v>159</v>
      </c>
      <c r="J84" s="15" t="s">
        <v>157</v>
      </c>
      <c r="K84" s="6">
        <v>44384</v>
      </c>
      <c r="L84" s="22" t="s">
        <v>160</v>
      </c>
      <c r="M84" s="4">
        <f>94371.89/1.95583</f>
        <v>48251.581170142599</v>
      </c>
      <c r="N84" s="7"/>
      <c r="O84" s="7" t="s">
        <v>21</v>
      </c>
    </row>
    <row r="85" spans="1:15" ht="57.6" x14ac:dyDescent="0.3">
      <c r="A85" s="18">
        <f t="shared" si="1"/>
        <v>83</v>
      </c>
      <c r="B85" s="20" t="s">
        <v>18</v>
      </c>
      <c r="C85" s="16" t="s">
        <v>19</v>
      </c>
      <c r="D85" s="2" t="s">
        <v>20</v>
      </c>
      <c r="E85" s="16" t="s">
        <v>18</v>
      </c>
      <c r="F85" s="11">
        <v>55649667</v>
      </c>
      <c r="G85" s="6">
        <v>43922</v>
      </c>
      <c r="H85" s="6">
        <v>44926</v>
      </c>
      <c r="I85" s="14" t="s">
        <v>162</v>
      </c>
      <c r="J85" s="15" t="s">
        <v>157</v>
      </c>
      <c r="K85" s="6">
        <v>44504</v>
      </c>
      <c r="L85" s="22" t="s">
        <v>161</v>
      </c>
      <c r="M85" s="4">
        <f>74136.34/1.95583</f>
        <v>37905.308743602458</v>
      </c>
      <c r="N85" s="7"/>
      <c r="O85" s="7" t="s">
        <v>21</v>
      </c>
    </row>
    <row r="86" spans="1:15" ht="57.6" x14ac:dyDescent="0.3">
      <c r="A86" s="18">
        <f t="shared" si="1"/>
        <v>84</v>
      </c>
      <c r="B86" s="20" t="s">
        <v>18</v>
      </c>
      <c r="C86" s="16" t="s">
        <v>19</v>
      </c>
      <c r="D86" s="2" t="s">
        <v>20</v>
      </c>
      <c r="E86" s="16" t="s">
        <v>18</v>
      </c>
      <c r="F86" s="11">
        <v>55649667</v>
      </c>
      <c r="G86" s="6">
        <v>43922</v>
      </c>
      <c r="H86" s="6">
        <v>44926</v>
      </c>
      <c r="I86" s="14" t="s">
        <v>164</v>
      </c>
      <c r="J86" s="15" t="s">
        <v>157</v>
      </c>
      <c r="K86" s="6">
        <v>44747</v>
      </c>
      <c r="L86" s="22" t="s">
        <v>163</v>
      </c>
      <c r="M86" s="4">
        <f>37493.69/1.95583</f>
        <v>19170.219293087848</v>
      </c>
      <c r="N86" s="7"/>
      <c r="O86" s="7" t="s">
        <v>21</v>
      </c>
    </row>
    <row r="87" spans="1:15" ht="57.6" x14ac:dyDescent="0.3">
      <c r="A87" s="18">
        <f t="shared" si="1"/>
        <v>85</v>
      </c>
      <c r="B87" s="20" t="s">
        <v>18</v>
      </c>
      <c r="C87" s="16" t="s">
        <v>19</v>
      </c>
      <c r="D87" s="2" t="s">
        <v>20</v>
      </c>
      <c r="E87" s="16" t="s">
        <v>18</v>
      </c>
      <c r="F87" s="11">
        <v>55649667</v>
      </c>
      <c r="G87" s="6">
        <v>43922</v>
      </c>
      <c r="H87" s="6">
        <v>44926</v>
      </c>
      <c r="I87" s="14" t="s">
        <v>165</v>
      </c>
      <c r="J87" s="15" t="s">
        <v>157</v>
      </c>
      <c r="K87" s="6">
        <v>44140</v>
      </c>
      <c r="L87" s="22" t="s">
        <v>166</v>
      </c>
      <c r="M87" s="4">
        <f>95279.24/1.95583</f>
        <v>48715.501858545991</v>
      </c>
      <c r="N87" s="7"/>
      <c r="O87" s="7" t="s">
        <v>21</v>
      </c>
    </row>
    <row r="88" spans="1:15" ht="57.6" x14ac:dyDescent="0.3">
      <c r="A88" s="18">
        <f t="shared" si="1"/>
        <v>86</v>
      </c>
      <c r="B88" s="20" t="s">
        <v>18</v>
      </c>
      <c r="C88" s="16" t="s">
        <v>19</v>
      </c>
      <c r="D88" s="2" t="s">
        <v>20</v>
      </c>
      <c r="E88" s="16" t="s">
        <v>18</v>
      </c>
      <c r="F88" s="11">
        <v>55649667</v>
      </c>
      <c r="G88" s="6">
        <v>43922</v>
      </c>
      <c r="H88" s="6">
        <v>44926</v>
      </c>
      <c r="I88" s="14" t="s">
        <v>167</v>
      </c>
      <c r="J88" s="15" t="s">
        <v>168</v>
      </c>
      <c r="K88" s="6">
        <v>44069</v>
      </c>
      <c r="L88" s="22" t="s">
        <v>169</v>
      </c>
      <c r="M88" s="4">
        <f>37787.49/1.95583</f>
        <v>19320.436847783294</v>
      </c>
      <c r="N88" s="7"/>
      <c r="O88" s="7" t="s">
        <v>21</v>
      </c>
    </row>
    <row r="89" spans="1:15" ht="57.6" x14ac:dyDescent="0.3">
      <c r="A89" s="18">
        <f t="shared" si="1"/>
        <v>87</v>
      </c>
      <c r="B89" s="20" t="s">
        <v>18</v>
      </c>
      <c r="C89" s="16" t="s">
        <v>19</v>
      </c>
      <c r="D89" s="2" t="s">
        <v>20</v>
      </c>
      <c r="E89" s="16" t="s">
        <v>18</v>
      </c>
      <c r="F89" s="11">
        <v>55649667</v>
      </c>
      <c r="G89" s="6">
        <v>43922</v>
      </c>
      <c r="H89" s="6">
        <v>44926</v>
      </c>
      <c r="I89" s="14" t="s">
        <v>170</v>
      </c>
      <c r="J89" s="15" t="s">
        <v>171</v>
      </c>
      <c r="K89" s="6">
        <v>44013</v>
      </c>
      <c r="L89" s="22" t="s">
        <v>172</v>
      </c>
      <c r="M89" s="4">
        <f>292672/1.95583</f>
        <v>149640.81745345966</v>
      </c>
      <c r="N89" s="7"/>
      <c r="O89" s="7" t="s">
        <v>21</v>
      </c>
    </row>
    <row r="90" spans="1:15" ht="57.6" x14ac:dyDescent="0.3">
      <c r="A90" s="18">
        <f t="shared" si="1"/>
        <v>88</v>
      </c>
      <c r="B90" s="20" t="s">
        <v>18</v>
      </c>
      <c r="C90" s="16" t="s">
        <v>19</v>
      </c>
      <c r="D90" s="2" t="s">
        <v>20</v>
      </c>
      <c r="E90" s="16" t="s">
        <v>18</v>
      </c>
      <c r="F90" s="11">
        <v>55649667</v>
      </c>
      <c r="G90" s="6">
        <v>43922</v>
      </c>
      <c r="H90" s="6">
        <v>44926</v>
      </c>
      <c r="I90" s="14" t="s">
        <v>173</v>
      </c>
      <c r="J90" s="15" t="s">
        <v>171</v>
      </c>
      <c r="K90" s="6">
        <v>44013</v>
      </c>
      <c r="L90" s="22" t="s">
        <v>176</v>
      </c>
      <c r="M90" s="4">
        <f>149256/1.95583</f>
        <v>76313.381019822787</v>
      </c>
      <c r="N90" s="7"/>
      <c r="O90" s="7" t="s">
        <v>21</v>
      </c>
    </row>
    <row r="91" spans="1:15" ht="57.6" x14ac:dyDescent="0.3">
      <c r="A91" s="18">
        <f t="shared" si="1"/>
        <v>89</v>
      </c>
      <c r="B91" s="20" t="s">
        <v>18</v>
      </c>
      <c r="C91" s="16" t="s">
        <v>19</v>
      </c>
      <c r="D91" s="2" t="s">
        <v>20</v>
      </c>
      <c r="E91" s="16" t="s">
        <v>18</v>
      </c>
      <c r="F91" s="11">
        <v>55649667</v>
      </c>
      <c r="G91" s="6">
        <v>43922</v>
      </c>
      <c r="H91" s="6">
        <v>44926</v>
      </c>
      <c r="I91" s="14" t="s">
        <v>174</v>
      </c>
      <c r="J91" s="15" t="s">
        <v>171</v>
      </c>
      <c r="K91" s="6">
        <v>44013</v>
      </c>
      <c r="L91" s="22" t="s">
        <v>175</v>
      </c>
      <c r="M91" s="4">
        <f>25280/1.95583</f>
        <v>12925.458756640404</v>
      </c>
      <c r="N91" s="7"/>
      <c r="O91" s="7" t="s">
        <v>21</v>
      </c>
    </row>
    <row r="92" spans="1:15" ht="57.6" x14ac:dyDescent="0.3">
      <c r="A92" s="18">
        <f t="shared" si="1"/>
        <v>90</v>
      </c>
      <c r="B92" s="20" t="s">
        <v>18</v>
      </c>
      <c r="C92" s="16" t="s">
        <v>19</v>
      </c>
      <c r="D92" s="2" t="s">
        <v>20</v>
      </c>
      <c r="E92" s="16" t="s">
        <v>18</v>
      </c>
      <c r="F92" s="11">
        <v>55649667</v>
      </c>
      <c r="G92" s="6">
        <v>43922</v>
      </c>
      <c r="H92" s="6">
        <v>44926</v>
      </c>
      <c r="I92" s="14" t="s">
        <v>547</v>
      </c>
      <c r="J92" s="15" t="s">
        <v>548</v>
      </c>
      <c r="K92" s="6">
        <v>44266</v>
      </c>
      <c r="L92" s="22" t="s">
        <v>549</v>
      </c>
      <c r="M92" s="4">
        <f>465719.57/1.95583</f>
        <v>238118.63505519397</v>
      </c>
      <c r="N92" s="7"/>
      <c r="O92" s="7" t="s">
        <v>21</v>
      </c>
    </row>
    <row r="93" spans="1:15" ht="57.6" x14ac:dyDescent="0.3">
      <c r="A93" s="18">
        <f t="shared" si="1"/>
        <v>91</v>
      </c>
      <c r="B93" s="20" t="s">
        <v>18</v>
      </c>
      <c r="C93" s="16" t="s">
        <v>19</v>
      </c>
      <c r="D93" s="2" t="s">
        <v>20</v>
      </c>
      <c r="E93" s="16" t="s">
        <v>18</v>
      </c>
      <c r="F93" s="11">
        <v>55649667</v>
      </c>
      <c r="G93" s="6">
        <v>43922</v>
      </c>
      <c r="H93" s="6">
        <v>44926</v>
      </c>
      <c r="I93" s="14" t="s">
        <v>177</v>
      </c>
      <c r="J93" s="15" t="s">
        <v>178</v>
      </c>
      <c r="K93" s="6">
        <v>44215</v>
      </c>
      <c r="L93" s="22" t="s">
        <v>179</v>
      </c>
      <c r="M93" s="4">
        <f>28475/1.95583</f>
        <v>14559.036317062322</v>
      </c>
      <c r="N93" s="7"/>
      <c r="O93" s="7" t="s">
        <v>21</v>
      </c>
    </row>
    <row r="94" spans="1:15" ht="57.6" x14ac:dyDescent="0.3">
      <c r="A94" s="18">
        <f t="shared" si="1"/>
        <v>92</v>
      </c>
      <c r="B94" s="20" t="s">
        <v>18</v>
      </c>
      <c r="C94" s="16" t="s">
        <v>19</v>
      </c>
      <c r="D94" s="2" t="s">
        <v>20</v>
      </c>
      <c r="E94" s="16" t="s">
        <v>18</v>
      </c>
      <c r="F94" s="11">
        <v>55649667</v>
      </c>
      <c r="G94" s="6">
        <v>43922</v>
      </c>
      <c r="H94" s="6">
        <v>44926</v>
      </c>
      <c r="I94" s="14" t="s">
        <v>523</v>
      </c>
      <c r="J94" s="15" t="s">
        <v>521</v>
      </c>
      <c r="K94" s="6">
        <v>44071</v>
      </c>
      <c r="L94" s="22" t="s">
        <v>522</v>
      </c>
      <c r="M94" s="4">
        <f>29335.91/1.95583</f>
        <v>14999.212610502958</v>
      </c>
      <c r="N94" s="7"/>
      <c r="O94" s="7" t="s">
        <v>21</v>
      </c>
    </row>
    <row r="95" spans="1:15" ht="57.6" x14ac:dyDescent="0.3">
      <c r="A95" s="18">
        <f t="shared" si="1"/>
        <v>93</v>
      </c>
      <c r="B95" s="20" t="s">
        <v>18</v>
      </c>
      <c r="C95" s="16" t="s">
        <v>19</v>
      </c>
      <c r="D95" s="2" t="s">
        <v>20</v>
      </c>
      <c r="E95" s="16" t="s">
        <v>18</v>
      </c>
      <c r="F95" s="11">
        <v>55649667</v>
      </c>
      <c r="G95" s="6">
        <v>43922</v>
      </c>
      <c r="H95" s="6">
        <v>44926</v>
      </c>
      <c r="I95" s="14" t="s">
        <v>524</v>
      </c>
      <c r="J95" s="15" t="s">
        <v>521</v>
      </c>
      <c r="K95" s="6">
        <v>44649</v>
      </c>
      <c r="L95" s="22" t="s">
        <v>525</v>
      </c>
      <c r="M95" s="4">
        <f>97397.91/1.95583</f>
        <v>49798.760628479984</v>
      </c>
      <c r="N95" s="7"/>
      <c r="O95" s="7" t="s">
        <v>21</v>
      </c>
    </row>
    <row r="96" spans="1:15" ht="57.6" x14ac:dyDescent="0.3">
      <c r="A96" s="18">
        <f t="shared" si="1"/>
        <v>94</v>
      </c>
      <c r="B96" s="20" t="s">
        <v>18</v>
      </c>
      <c r="C96" s="16" t="s">
        <v>19</v>
      </c>
      <c r="D96" s="2" t="s">
        <v>20</v>
      </c>
      <c r="E96" s="16" t="s">
        <v>18</v>
      </c>
      <c r="F96" s="11">
        <v>55649667</v>
      </c>
      <c r="G96" s="6">
        <v>43922</v>
      </c>
      <c r="H96" s="6">
        <v>44926</v>
      </c>
      <c r="I96" s="14" t="s">
        <v>180</v>
      </c>
      <c r="J96" s="15" t="s">
        <v>181</v>
      </c>
      <c r="K96" s="6">
        <v>44232</v>
      </c>
      <c r="L96" s="22" t="s">
        <v>182</v>
      </c>
      <c r="M96" s="4">
        <f>(7289.18+24000+54144+16694.4+3304.84)/1.95583</f>
        <v>53906.7403608698</v>
      </c>
      <c r="N96" s="7"/>
      <c r="O96" s="7" t="s">
        <v>21</v>
      </c>
    </row>
    <row r="97" spans="1:15" ht="57.6" x14ac:dyDescent="0.3">
      <c r="A97" s="18">
        <f t="shared" si="1"/>
        <v>95</v>
      </c>
      <c r="B97" s="20" t="s">
        <v>18</v>
      </c>
      <c r="C97" s="16" t="s">
        <v>19</v>
      </c>
      <c r="D97" s="2" t="s">
        <v>20</v>
      </c>
      <c r="E97" s="16" t="s">
        <v>18</v>
      </c>
      <c r="F97" s="11">
        <v>55649667</v>
      </c>
      <c r="G97" s="6">
        <v>43922</v>
      </c>
      <c r="H97" s="6">
        <v>44926</v>
      </c>
      <c r="I97" s="14" t="s">
        <v>180</v>
      </c>
      <c r="J97" s="15" t="s">
        <v>181</v>
      </c>
      <c r="K97" s="6">
        <v>44599</v>
      </c>
      <c r="L97" s="22" t="s">
        <v>183</v>
      </c>
      <c r="M97" s="4">
        <f>(44282.19+46883.12+9523.94+216727.73)/1.95583</f>
        <v>162292.72482782244</v>
      </c>
      <c r="N97" s="7"/>
      <c r="O97" s="7" t="s">
        <v>21</v>
      </c>
    </row>
    <row r="98" spans="1:15" ht="57.6" x14ac:dyDescent="0.3">
      <c r="A98" s="18">
        <f t="shared" si="1"/>
        <v>96</v>
      </c>
      <c r="B98" s="20" t="s">
        <v>18</v>
      </c>
      <c r="C98" s="16" t="s">
        <v>19</v>
      </c>
      <c r="D98" s="2" t="s">
        <v>20</v>
      </c>
      <c r="E98" s="16" t="s">
        <v>18</v>
      </c>
      <c r="F98" s="11">
        <v>55649667</v>
      </c>
      <c r="G98" s="6">
        <v>43922</v>
      </c>
      <c r="H98" s="6">
        <v>44926</v>
      </c>
      <c r="I98" s="14" t="s">
        <v>129</v>
      </c>
      <c r="J98" s="15" t="s">
        <v>127</v>
      </c>
      <c r="K98" s="6">
        <v>44119</v>
      </c>
      <c r="L98" s="22" t="s">
        <v>128</v>
      </c>
      <c r="M98" s="4">
        <v>77216.98</v>
      </c>
      <c r="N98" s="7"/>
      <c r="O98" s="7" t="s">
        <v>21</v>
      </c>
    </row>
    <row r="99" spans="1:15" ht="57.6" x14ac:dyDescent="0.3">
      <c r="A99" s="18">
        <f t="shared" si="1"/>
        <v>97</v>
      </c>
      <c r="B99" s="20" t="s">
        <v>18</v>
      </c>
      <c r="C99" s="16" t="s">
        <v>19</v>
      </c>
      <c r="D99" s="2" t="s">
        <v>20</v>
      </c>
      <c r="E99" s="16" t="s">
        <v>18</v>
      </c>
      <c r="F99" s="11">
        <v>55649667</v>
      </c>
      <c r="G99" s="6">
        <v>43922</v>
      </c>
      <c r="H99" s="6">
        <v>44926</v>
      </c>
      <c r="I99" s="14" t="s">
        <v>129</v>
      </c>
      <c r="J99" s="15" t="s">
        <v>127</v>
      </c>
      <c r="K99" s="6">
        <v>44300</v>
      </c>
      <c r="L99" s="22" t="s">
        <v>130</v>
      </c>
      <c r="M99" s="4">
        <v>157608.88</v>
      </c>
      <c r="N99" s="7"/>
      <c r="O99" s="7" t="s">
        <v>21</v>
      </c>
    </row>
    <row r="100" spans="1:15" ht="57.6" x14ac:dyDescent="0.3">
      <c r="A100" s="18">
        <f t="shared" si="1"/>
        <v>98</v>
      </c>
      <c r="B100" s="20" t="s">
        <v>18</v>
      </c>
      <c r="C100" s="16" t="s">
        <v>19</v>
      </c>
      <c r="D100" s="2" t="s">
        <v>20</v>
      </c>
      <c r="E100" s="16" t="s">
        <v>18</v>
      </c>
      <c r="F100" s="11">
        <v>55649667</v>
      </c>
      <c r="G100" s="6">
        <v>43922</v>
      </c>
      <c r="H100" s="6">
        <v>44926</v>
      </c>
      <c r="I100" s="14" t="s">
        <v>135</v>
      </c>
      <c r="J100" s="15" t="s">
        <v>134</v>
      </c>
      <c r="K100" s="6">
        <v>44210</v>
      </c>
      <c r="L100" s="22" t="s">
        <v>133</v>
      </c>
      <c r="M100" s="4">
        <v>510006.87</v>
      </c>
      <c r="N100" s="7"/>
      <c r="O100" s="7" t="s">
        <v>21</v>
      </c>
    </row>
    <row r="101" spans="1:15" ht="57.6" x14ac:dyDescent="0.3">
      <c r="A101" s="18">
        <f t="shared" si="1"/>
        <v>99</v>
      </c>
      <c r="B101" s="20" t="s">
        <v>18</v>
      </c>
      <c r="C101" s="16" t="s">
        <v>19</v>
      </c>
      <c r="D101" s="2" t="s">
        <v>20</v>
      </c>
      <c r="E101" s="16" t="s">
        <v>18</v>
      </c>
      <c r="F101" s="11">
        <v>55649667</v>
      </c>
      <c r="G101" s="6">
        <v>43922</v>
      </c>
      <c r="H101" s="6">
        <v>44926</v>
      </c>
      <c r="I101" s="14" t="s">
        <v>482</v>
      </c>
      <c r="J101" s="15" t="s">
        <v>134</v>
      </c>
      <c r="K101" s="6">
        <v>44196</v>
      </c>
      <c r="L101" s="22" t="s">
        <v>483</v>
      </c>
      <c r="M101" s="4">
        <f>56854.78/1.95583</f>
        <v>29069.387421197138</v>
      </c>
      <c r="N101" s="7"/>
      <c r="O101" s="7" t="s">
        <v>21</v>
      </c>
    </row>
    <row r="102" spans="1:15" ht="57.6" x14ac:dyDescent="0.3">
      <c r="A102" s="18">
        <f t="shared" si="1"/>
        <v>100</v>
      </c>
      <c r="B102" s="20" t="s">
        <v>18</v>
      </c>
      <c r="C102" s="16" t="s">
        <v>19</v>
      </c>
      <c r="D102" s="2" t="s">
        <v>20</v>
      </c>
      <c r="E102" s="16" t="s">
        <v>18</v>
      </c>
      <c r="F102" s="11">
        <v>55649667</v>
      </c>
      <c r="G102" s="6">
        <v>43922</v>
      </c>
      <c r="H102" s="6">
        <v>44926</v>
      </c>
      <c r="I102" s="14" t="s">
        <v>185</v>
      </c>
      <c r="J102" s="15" t="s">
        <v>186</v>
      </c>
      <c r="K102" s="6">
        <v>44084</v>
      </c>
      <c r="L102" s="22" t="s">
        <v>184</v>
      </c>
      <c r="M102" s="4">
        <f>(28330+196302+6110)/1.95583</f>
        <v>117976.51125097786</v>
      </c>
      <c r="N102" s="7"/>
      <c r="O102" s="7" t="s">
        <v>21</v>
      </c>
    </row>
    <row r="103" spans="1:15" ht="57.6" x14ac:dyDescent="0.3">
      <c r="A103" s="18">
        <f t="shared" si="1"/>
        <v>101</v>
      </c>
      <c r="B103" s="20" t="s">
        <v>18</v>
      </c>
      <c r="C103" s="16" t="s">
        <v>19</v>
      </c>
      <c r="D103" s="2" t="s">
        <v>20</v>
      </c>
      <c r="E103" s="16" t="s">
        <v>18</v>
      </c>
      <c r="F103" s="11">
        <v>55649667</v>
      </c>
      <c r="G103" s="6">
        <v>43922</v>
      </c>
      <c r="H103" s="6">
        <v>44926</v>
      </c>
      <c r="I103" s="14" t="s">
        <v>512</v>
      </c>
      <c r="J103" s="15" t="s">
        <v>510</v>
      </c>
      <c r="K103" s="6">
        <v>44476</v>
      </c>
      <c r="L103" s="22" t="s">
        <v>511</v>
      </c>
      <c r="M103" s="4">
        <f>43487.17/1.95583</f>
        <v>22234.636957199757</v>
      </c>
      <c r="N103" s="7"/>
      <c r="O103" s="7" t="s">
        <v>21</v>
      </c>
    </row>
    <row r="104" spans="1:15" ht="57.6" x14ac:dyDescent="0.3">
      <c r="A104" s="18">
        <f t="shared" si="1"/>
        <v>102</v>
      </c>
      <c r="B104" s="20" t="s">
        <v>18</v>
      </c>
      <c r="C104" s="16" t="s">
        <v>19</v>
      </c>
      <c r="D104" s="2" t="s">
        <v>20</v>
      </c>
      <c r="E104" s="16" t="s">
        <v>18</v>
      </c>
      <c r="F104" s="11">
        <v>55649667</v>
      </c>
      <c r="G104" s="6">
        <v>43922</v>
      </c>
      <c r="H104" s="6">
        <v>44926</v>
      </c>
      <c r="I104" s="14" t="s">
        <v>189</v>
      </c>
      <c r="J104" s="15" t="s">
        <v>188</v>
      </c>
      <c r="K104" s="6">
        <v>44432</v>
      </c>
      <c r="L104" s="22" t="s">
        <v>190</v>
      </c>
      <c r="M104" s="4">
        <f>49971.63/1.95583</f>
        <v>25550.088709141386</v>
      </c>
      <c r="N104" s="7"/>
      <c r="O104" s="7" t="s">
        <v>21</v>
      </c>
    </row>
    <row r="105" spans="1:15" ht="57.6" x14ac:dyDescent="0.3">
      <c r="A105" s="18">
        <f t="shared" si="1"/>
        <v>103</v>
      </c>
      <c r="B105" s="20" t="s">
        <v>18</v>
      </c>
      <c r="C105" s="16" t="s">
        <v>19</v>
      </c>
      <c r="D105" s="2" t="s">
        <v>20</v>
      </c>
      <c r="E105" s="16" t="s">
        <v>18</v>
      </c>
      <c r="F105" s="11">
        <v>55649667</v>
      </c>
      <c r="G105" s="6">
        <v>43922</v>
      </c>
      <c r="H105" s="6">
        <v>44926</v>
      </c>
      <c r="I105" s="14" t="s">
        <v>187</v>
      </c>
      <c r="J105" s="15" t="s">
        <v>188</v>
      </c>
      <c r="K105" s="6">
        <v>44433</v>
      </c>
      <c r="L105" s="22" t="s">
        <v>191</v>
      </c>
      <c r="M105" s="4">
        <f>37471.5/1.95583</f>
        <v>19158.873726244103</v>
      </c>
      <c r="N105" s="7"/>
      <c r="O105" s="7" t="s">
        <v>21</v>
      </c>
    </row>
    <row r="106" spans="1:15" ht="57.6" x14ac:dyDescent="0.3">
      <c r="A106" s="18">
        <f t="shared" si="1"/>
        <v>104</v>
      </c>
      <c r="B106" s="20" t="s">
        <v>18</v>
      </c>
      <c r="C106" s="16" t="s">
        <v>19</v>
      </c>
      <c r="D106" s="2" t="s">
        <v>20</v>
      </c>
      <c r="E106" s="16" t="s">
        <v>18</v>
      </c>
      <c r="F106" s="11">
        <v>55649667</v>
      </c>
      <c r="G106" s="6">
        <v>43922</v>
      </c>
      <c r="H106" s="6">
        <v>44926</v>
      </c>
      <c r="I106" s="14" t="s">
        <v>189</v>
      </c>
      <c r="J106" s="15" t="s">
        <v>188</v>
      </c>
      <c r="K106" s="6">
        <v>44013</v>
      </c>
      <c r="L106" s="22" t="s">
        <v>192</v>
      </c>
      <c r="M106" s="4">
        <f>21993.02/1.95583</f>
        <v>11244.852568986058</v>
      </c>
      <c r="N106" s="7"/>
      <c r="O106" s="7" t="s">
        <v>21</v>
      </c>
    </row>
    <row r="107" spans="1:15" ht="57.6" x14ac:dyDescent="0.3">
      <c r="A107" s="18">
        <f t="shared" si="1"/>
        <v>105</v>
      </c>
      <c r="B107" s="20" t="s">
        <v>18</v>
      </c>
      <c r="C107" s="16" t="s">
        <v>19</v>
      </c>
      <c r="D107" s="2" t="s">
        <v>20</v>
      </c>
      <c r="E107" s="16" t="s">
        <v>18</v>
      </c>
      <c r="F107" s="11">
        <v>55649667</v>
      </c>
      <c r="G107" s="6">
        <v>43922</v>
      </c>
      <c r="H107" s="6">
        <v>44926</v>
      </c>
      <c r="I107" s="14" t="s">
        <v>189</v>
      </c>
      <c r="J107" s="15" t="s">
        <v>188</v>
      </c>
      <c r="K107" s="6">
        <v>44042</v>
      </c>
      <c r="L107" s="22" t="s">
        <v>190</v>
      </c>
      <c r="M107" s="4">
        <f>23529.24/1.95583</f>
        <v>12030.309382717312</v>
      </c>
      <c r="N107" s="7"/>
      <c r="O107" s="7" t="s">
        <v>21</v>
      </c>
    </row>
    <row r="108" spans="1:15" ht="57.6" x14ac:dyDescent="0.3">
      <c r="A108" s="18">
        <f t="shared" si="1"/>
        <v>106</v>
      </c>
      <c r="B108" s="20" t="s">
        <v>18</v>
      </c>
      <c r="C108" s="16" t="s">
        <v>19</v>
      </c>
      <c r="D108" s="2" t="s">
        <v>20</v>
      </c>
      <c r="E108" s="16" t="s">
        <v>18</v>
      </c>
      <c r="F108" s="11">
        <v>55649667</v>
      </c>
      <c r="G108" s="6">
        <v>43922</v>
      </c>
      <c r="H108" s="6">
        <v>44926</v>
      </c>
      <c r="I108" s="14" t="s">
        <v>189</v>
      </c>
      <c r="J108" s="15" t="s">
        <v>188</v>
      </c>
      <c r="K108" s="6">
        <v>44075</v>
      </c>
      <c r="L108" s="22" t="s">
        <v>193</v>
      </c>
      <c r="M108" s="4">
        <f>32141.2/1.95583</f>
        <v>16433.534611903899</v>
      </c>
      <c r="N108" s="7"/>
      <c r="O108" s="7" t="s">
        <v>21</v>
      </c>
    </row>
    <row r="109" spans="1:15" ht="57.6" x14ac:dyDescent="0.3">
      <c r="A109" s="18">
        <f t="shared" si="1"/>
        <v>107</v>
      </c>
      <c r="B109" s="20" t="s">
        <v>18</v>
      </c>
      <c r="C109" s="16" t="s">
        <v>19</v>
      </c>
      <c r="D109" s="2" t="s">
        <v>20</v>
      </c>
      <c r="E109" s="16" t="s">
        <v>18</v>
      </c>
      <c r="F109" s="11">
        <v>55649667</v>
      </c>
      <c r="G109" s="6">
        <v>43922</v>
      </c>
      <c r="H109" s="6">
        <v>44926</v>
      </c>
      <c r="I109" s="14" t="s">
        <v>189</v>
      </c>
      <c r="J109" s="15" t="s">
        <v>188</v>
      </c>
      <c r="K109" s="6">
        <v>44105</v>
      </c>
      <c r="L109" s="22" t="s">
        <v>194</v>
      </c>
      <c r="M109" s="4">
        <f>34129.76/1.95583</f>
        <v>17450.26919517545</v>
      </c>
      <c r="N109" s="7"/>
      <c r="O109" s="7" t="s">
        <v>21</v>
      </c>
    </row>
    <row r="110" spans="1:15" ht="57.6" x14ac:dyDescent="0.3">
      <c r="A110" s="18">
        <f t="shared" si="1"/>
        <v>108</v>
      </c>
      <c r="B110" s="20" t="s">
        <v>18</v>
      </c>
      <c r="C110" s="16" t="s">
        <v>19</v>
      </c>
      <c r="D110" s="2" t="s">
        <v>20</v>
      </c>
      <c r="E110" s="16" t="s">
        <v>18</v>
      </c>
      <c r="F110" s="11">
        <v>55649667</v>
      </c>
      <c r="G110" s="6">
        <v>43922</v>
      </c>
      <c r="H110" s="6">
        <v>44926</v>
      </c>
      <c r="I110" s="14" t="s">
        <v>189</v>
      </c>
      <c r="J110" s="15" t="s">
        <v>188</v>
      </c>
      <c r="K110" s="6">
        <v>44136</v>
      </c>
      <c r="L110" s="22" t="s">
        <v>195</v>
      </c>
      <c r="M110" s="4">
        <f>28992.88/1.95583</f>
        <v>14823.824156496219</v>
      </c>
      <c r="N110" s="7"/>
      <c r="O110" s="7" t="s">
        <v>21</v>
      </c>
    </row>
    <row r="111" spans="1:15" ht="57.6" x14ac:dyDescent="0.3">
      <c r="A111" s="18">
        <f t="shared" si="1"/>
        <v>109</v>
      </c>
      <c r="B111" s="20" t="s">
        <v>18</v>
      </c>
      <c r="C111" s="16" t="s">
        <v>19</v>
      </c>
      <c r="D111" s="2" t="s">
        <v>20</v>
      </c>
      <c r="E111" s="16" t="s">
        <v>18</v>
      </c>
      <c r="F111" s="11">
        <v>55649667</v>
      </c>
      <c r="G111" s="6">
        <v>43922</v>
      </c>
      <c r="H111" s="6">
        <v>44926</v>
      </c>
      <c r="I111" s="14" t="s">
        <v>204</v>
      </c>
      <c r="J111" s="15" t="s">
        <v>201</v>
      </c>
      <c r="K111" s="6">
        <v>44096</v>
      </c>
      <c r="L111" s="22" t="s">
        <v>202</v>
      </c>
      <c r="M111" s="4">
        <f>38400/1.95583</f>
        <v>19633.60823793479</v>
      </c>
      <c r="N111" s="7"/>
      <c r="O111" s="7" t="s">
        <v>21</v>
      </c>
    </row>
    <row r="112" spans="1:15" ht="57.6" x14ac:dyDescent="0.3">
      <c r="A112" s="18">
        <f t="shared" si="1"/>
        <v>110</v>
      </c>
      <c r="B112" s="20" t="s">
        <v>18</v>
      </c>
      <c r="C112" s="16" t="s">
        <v>19</v>
      </c>
      <c r="D112" s="2" t="s">
        <v>20</v>
      </c>
      <c r="E112" s="16" t="s">
        <v>18</v>
      </c>
      <c r="F112" s="11">
        <v>55649667</v>
      </c>
      <c r="G112" s="6">
        <v>43922</v>
      </c>
      <c r="H112" s="6">
        <v>44926</v>
      </c>
      <c r="I112" s="14" t="s">
        <v>204</v>
      </c>
      <c r="J112" s="15" t="s">
        <v>201</v>
      </c>
      <c r="K112" s="6">
        <v>44096</v>
      </c>
      <c r="L112" s="28" t="s">
        <v>203</v>
      </c>
      <c r="M112" s="4">
        <f>57600/1.95583</f>
        <v>29450.412356902187</v>
      </c>
      <c r="N112" s="7"/>
      <c r="O112" s="7" t="s">
        <v>21</v>
      </c>
    </row>
    <row r="113" spans="1:15" ht="57.6" x14ac:dyDescent="0.3">
      <c r="A113" s="18">
        <f t="shared" si="1"/>
        <v>111</v>
      </c>
      <c r="B113" s="20" t="s">
        <v>18</v>
      </c>
      <c r="C113" s="16" t="s">
        <v>19</v>
      </c>
      <c r="D113" s="2" t="s">
        <v>20</v>
      </c>
      <c r="E113" s="16" t="s">
        <v>18</v>
      </c>
      <c r="F113" s="11">
        <v>55649667</v>
      </c>
      <c r="G113" s="6">
        <v>43922</v>
      </c>
      <c r="H113" s="6">
        <v>44926</v>
      </c>
      <c r="I113" s="14" t="s">
        <v>495</v>
      </c>
      <c r="J113" s="15" t="s">
        <v>487</v>
      </c>
      <c r="K113" s="6">
        <v>44035</v>
      </c>
      <c r="L113" s="28" t="s">
        <v>496</v>
      </c>
      <c r="M113" s="4">
        <f>102015.1/1.95583</f>
        <v>52159.492389420353</v>
      </c>
      <c r="N113" s="7"/>
      <c r="O113" s="7" t="s">
        <v>21</v>
      </c>
    </row>
    <row r="114" spans="1:15" ht="57.6" x14ac:dyDescent="0.3">
      <c r="A114" s="18">
        <f t="shared" si="1"/>
        <v>112</v>
      </c>
      <c r="B114" s="20" t="s">
        <v>18</v>
      </c>
      <c r="C114" s="16" t="s">
        <v>19</v>
      </c>
      <c r="D114" s="2" t="s">
        <v>20</v>
      </c>
      <c r="E114" s="16" t="s">
        <v>18</v>
      </c>
      <c r="F114" s="11">
        <v>55649667</v>
      </c>
      <c r="G114" s="6">
        <v>43922</v>
      </c>
      <c r="H114" s="6">
        <v>44926</v>
      </c>
      <c r="I114" s="14" t="s">
        <v>486</v>
      </c>
      <c r="J114" s="15" t="s">
        <v>487</v>
      </c>
      <c r="K114" s="6">
        <v>44198</v>
      </c>
      <c r="L114" s="28" t="s">
        <v>488</v>
      </c>
      <c r="M114" s="4">
        <f>89574.11/1.95583</f>
        <v>45798.515208377008</v>
      </c>
      <c r="N114" s="7"/>
      <c r="O114" s="7" t="s">
        <v>21</v>
      </c>
    </row>
    <row r="115" spans="1:15" ht="57.6" x14ac:dyDescent="0.3">
      <c r="A115" s="18">
        <f t="shared" si="1"/>
        <v>113</v>
      </c>
      <c r="B115" s="20" t="s">
        <v>18</v>
      </c>
      <c r="C115" s="16" t="s">
        <v>19</v>
      </c>
      <c r="D115" s="2" t="s">
        <v>20</v>
      </c>
      <c r="E115" s="16" t="s">
        <v>18</v>
      </c>
      <c r="F115" s="11">
        <v>55649667</v>
      </c>
      <c r="G115" s="6">
        <v>43922</v>
      </c>
      <c r="H115" s="6">
        <v>44926</v>
      </c>
      <c r="I115" s="14" t="s">
        <v>497</v>
      </c>
      <c r="J115" s="15" t="s">
        <v>487</v>
      </c>
      <c r="K115" s="6">
        <v>44664</v>
      </c>
      <c r="L115" s="28" t="s">
        <v>498</v>
      </c>
      <c r="M115" s="4">
        <f>19560.86/1.95583</f>
        <v>10001.308907215864</v>
      </c>
      <c r="N115" s="7"/>
      <c r="O115" s="7" t="s">
        <v>21</v>
      </c>
    </row>
    <row r="116" spans="1:15" ht="57.6" x14ac:dyDescent="0.3">
      <c r="A116" s="18">
        <f t="shared" si="1"/>
        <v>114</v>
      </c>
      <c r="B116" s="20" t="s">
        <v>18</v>
      </c>
      <c r="C116" s="16" t="s">
        <v>19</v>
      </c>
      <c r="D116" s="2" t="s">
        <v>20</v>
      </c>
      <c r="E116" s="16" t="s">
        <v>18</v>
      </c>
      <c r="F116" s="11">
        <v>55649667</v>
      </c>
      <c r="G116" s="6">
        <v>43922</v>
      </c>
      <c r="H116" s="6">
        <v>44926</v>
      </c>
      <c r="I116" s="14" t="s">
        <v>499</v>
      </c>
      <c r="J116" s="15" t="s">
        <v>487</v>
      </c>
      <c r="K116" s="6">
        <v>43966</v>
      </c>
      <c r="L116" s="28" t="s">
        <v>500</v>
      </c>
      <c r="M116" s="4">
        <f>96163.6/1.95583</f>
        <v>49167.667946600683</v>
      </c>
      <c r="N116" s="7"/>
      <c r="O116" s="7" t="s">
        <v>21</v>
      </c>
    </row>
    <row r="117" spans="1:15" ht="57.6" x14ac:dyDescent="0.3">
      <c r="A117" s="18">
        <f t="shared" si="1"/>
        <v>115</v>
      </c>
      <c r="B117" s="20" t="s">
        <v>18</v>
      </c>
      <c r="C117" s="16" t="s">
        <v>19</v>
      </c>
      <c r="D117" s="2" t="s">
        <v>20</v>
      </c>
      <c r="E117" s="16" t="s">
        <v>18</v>
      </c>
      <c r="F117" s="11">
        <v>55649667</v>
      </c>
      <c r="G117" s="6">
        <v>43922</v>
      </c>
      <c r="H117" s="6">
        <v>44926</v>
      </c>
      <c r="I117" s="14" t="s">
        <v>513</v>
      </c>
      <c r="J117" s="15" t="s">
        <v>514</v>
      </c>
      <c r="K117" s="6">
        <v>44496</v>
      </c>
      <c r="L117" s="28" t="s">
        <v>515</v>
      </c>
      <c r="M117" s="4">
        <f>31500/1.95583</f>
        <v>16105.694257680883</v>
      </c>
      <c r="N117" s="7"/>
      <c r="O117" s="7" t="s">
        <v>21</v>
      </c>
    </row>
    <row r="118" spans="1:15" ht="57.6" x14ac:dyDescent="0.3">
      <c r="A118" s="18">
        <f t="shared" si="1"/>
        <v>116</v>
      </c>
      <c r="B118" s="20" t="s">
        <v>18</v>
      </c>
      <c r="C118" s="16" t="s">
        <v>19</v>
      </c>
      <c r="D118" s="2" t="s">
        <v>20</v>
      </c>
      <c r="E118" s="16" t="s">
        <v>18</v>
      </c>
      <c r="F118" s="11">
        <v>55649667</v>
      </c>
      <c r="G118" s="6">
        <v>43922</v>
      </c>
      <c r="H118" s="6">
        <v>44926</v>
      </c>
      <c r="I118" s="14" t="s">
        <v>197</v>
      </c>
      <c r="J118" s="15" t="s">
        <v>198</v>
      </c>
      <c r="K118" s="6">
        <v>44322</v>
      </c>
      <c r="L118" s="22" t="s">
        <v>196</v>
      </c>
      <c r="M118" s="4">
        <f>77900/1.95583</f>
        <v>39829.637545185418</v>
      </c>
      <c r="N118" s="7"/>
      <c r="O118" s="7" t="s">
        <v>21</v>
      </c>
    </row>
    <row r="119" spans="1:15" ht="57.6" x14ac:dyDescent="0.3">
      <c r="A119" s="18">
        <f t="shared" si="1"/>
        <v>117</v>
      </c>
      <c r="B119" s="20" t="s">
        <v>18</v>
      </c>
      <c r="C119" s="16" t="s">
        <v>19</v>
      </c>
      <c r="D119" s="2" t="s">
        <v>20</v>
      </c>
      <c r="E119" s="16" t="s">
        <v>18</v>
      </c>
      <c r="F119" s="11">
        <v>55649667</v>
      </c>
      <c r="G119" s="6">
        <v>43922</v>
      </c>
      <c r="H119" s="6">
        <v>44926</v>
      </c>
      <c r="I119" s="14" t="s">
        <v>199</v>
      </c>
      <c r="J119" s="15" t="s">
        <v>198</v>
      </c>
      <c r="K119" s="6">
        <v>44699</v>
      </c>
      <c r="L119" s="22" t="s">
        <v>200</v>
      </c>
      <c r="M119" s="4">
        <f>63900/1.95583</f>
        <v>32671.551208438363</v>
      </c>
      <c r="N119" s="7"/>
      <c r="O119" s="7" t="s">
        <v>21</v>
      </c>
    </row>
    <row r="120" spans="1:15" ht="57.6" x14ac:dyDescent="0.3">
      <c r="A120" s="18">
        <f t="shared" si="1"/>
        <v>118</v>
      </c>
      <c r="B120" s="20" t="s">
        <v>18</v>
      </c>
      <c r="C120" s="16" t="s">
        <v>19</v>
      </c>
      <c r="D120" s="2" t="s">
        <v>20</v>
      </c>
      <c r="E120" s="16" t="s">
        <v>18</v>
      </c>
      <c r="F120" s="11">
        <v>55649667</v>
      </c>
      <c r="G120" s="6">
        <v>43922</v>
      </c>
      <c r="H120" s="6">
        <v>44926</v>
      </c>
      <c r="I120" s="14" t="s">
        <v>205</v>
      </c>
      <c r="J120" s="15" t="s">
        <v>206</v>
      </c>
      <c r="K120" s="6">
        <v>44218</v>
      </c>
      <c r="L120" s="28" t="s">
        <v>207</v>
      </c>
      <c r="M120" s="4">
        <f>23954/1.95583</f>
        <v>12247.485722174219</v>
      </c>
      <c r="N120" s="7"/>
      <c r="O120" s="7" t="s">
        <v>21</v>
      </c>
    </row>
    <row r="121" spans="1:15" ht="57.6" x14ac:dyDescent="0.3">
      <c r="A121" s="18">
        <f t="shared" si="1"/>
        <v>119</v>
      </c>
      <c r="B121" s="20" t="s">
        <v>18</v>
      </c>
      <c r="C121" s="16" t="s">
        <v>19</v>
      </c>
      <c r="D121" s="2" t="s">
        <v>20</v>
      </c>
      <c r="E121" s="16" t="s">
        <v>18</v>
      </c>
      <c r="F121" s="11">
        <v>55649667</v>
      </c>
      <c r="G121" s="6">
        <v>43922</v>
      </c>
      <c r="H121" s="6">
        <v>44926</v>
      </c>
      <c r="I121" s="14" t="s">
        <v>208</v>
      </c>
      <c r="J121" s="15" t="s">
        <v>206</v>
      </c>
      <c r="K121" s="30">
        <v>44223</v>
      </c>
      <c r="L121" s="22" t="s">
        <v>209</v>
      </c>
      <c r="M121" s="4">
        <f>23518.95/1.95583</f>
        <v>12025.048189259804</v>
      </c>
      <c r="N121" s="7"/>
      <c r="O121" s="7" t="s">
        <v>21</v>
      </c>
    </row>
    <row r="122" spans="1:15" ht="57.6" x14ac:dyDescent="0.3">
      <c r="A122" s="18">
        <f t="shared" si="1"/>
        <v>120</v>
      </c>
      <c r="B122" s="20" t="s">
        <v>18</v>
      </c>
      <c r="C122" s="16" t="s">
        <v>19</v>
      </c>
      <c r="D122" s="2" t="s">
        <v>20</v>
      </c>
      <c r="E122" s="16" t="s">
        <v>18</v>
      </c>
      <c r="F122" s="11">
        <v>55649667</v>
      </c>
      <c r="G122" s="6">
        <v>43922</v>
      </c>
      <c r="H122" s="6">
        <v>44926</v>
      </c>
      <c r="I122" s="14" t="s">
        <v>210</v>
      </c>
      <c r="J122" s="15" t="s">
        <v>206</v>
      </c>
      <c r="K122" s="6">
        <v>44434</v>
      </c>
      <c r="L122" s="22" t="s">
        <v>211</v>
      </c>
      <c r="M122" s="4">
        <f>29518.92/1.95583</f>
        <v>15092.784137680677</v>
      </c>
      <c r="N122" s="7"/>
      <c r="O122" s="7" t="s">
        <v>21</v>
      </c>
    </row>
    <row r="123" spans="1:15" ht="57.6" x14ac:dyDescent="0.3">
      <c r="A123" s="18">
        <f t="shared" si="1"/>
        <v>121</v>
      </c>
      <c r="B123" s="20" t="s">
        <v>18</v>
      </c>
      <c r="C123" s="16" t="s">
        <v>19</v>
      </c>
      <c r="D123" s="2" t="s">
        <v>20</v>
      </c>
      <c r="E123" s="16" t="s">
        <v>18</v>
      </c>
      <c r="F123" s="11">
        <v>55649667</v>
      </c>
      <c r="G123" s="6">
        <v>43922</v>
      </c>
      <c r="H123" s="6">
        <v>44926</v>
      </c>
      <c r="I123" s="14" t="s">
        <v>212</v>
      </c>
      <c r="J123" s="15" t="s">
        <v>213</v>
      </c>
      <c r="K123" s="6">
        <v>44126</v>
      </c>
      <c r="L123" s="22" t="s">
        <v>214</v>
      </c>
      <c r="M123" s="4">
        <v>267654.95</v>
      </c>
      <c r="N123" s="7"/>
      <c r="O123" s="7" t="s">
        <v>21</v>
      </c>
    </row>
    <row r="124" spans="1:15" ht="57.6" x14ac:dyDescent="0.3">
      <c r="A124" s="18">
        <f t="shared" si="1"/>
        <v>122</v>
      </c>
      <c r="B124" s="20" t="s">
        <v>18</v>
      </c>
      <c r="C124" s="16" t="s">
        <v>19</v>
      </c>
      <c r="D124" s="2" t="s">
        <v>20</v>
      </c>
      <c r="E124" s="16" t="s">
        <v>18</v>
      </c>
      <c r="F124" s="11">
        <v>55649667</v>
      </c>
      <c r="G124" s="6">
        <v>43922</v>
      </c>
      <c r="H124" s="6">
        <v>44926</v>
      </c>
      <c r="I124" s="14" t="s">
        <v>215</v>
      </c>
      <c r="J124" s="15" t="s">
        <v>216</v>
      </c>
      <c r="K124" s="6">
        <v>43922</v>
      </c>
      <c r="L124" s="22" t="s">
        <v>217</v>
      </c>
      <c r="M124" s="4">
        <f>30000/1.95583</f>
        <v>15338.756435886555</v>
      </c>
      <c r="N124" s="7"/>
      <c r="O124" s="7" t="s">
        <v>21</v>
      </c>
    </row>
    <row r="125" spans="1:15" ht="57.6" x14ac:dyDescent="0.3">
      <c r="A125" s="18">
        <f t="shared" si="1"/>
        <v>123</v>
      </c>
      <c r="B125" s="20" t="s">
        <v>18</v>
      </c>
      <c r="C125" s="16" t="s">
        <v>19</v>
      </c>
      <c r="D125" s="2" t="s">
        <v>20</v>
      </c>
      <c r="E125" s="16" t="s">
        <v>18</v>
      </c>
      <c r="F125" s="11">
        <v>55649667</v>
      </c>
      <c r="G125" s="6">
        <v>43922</v>
      </c>
      <c r="H125" s="6">
        <v>44926</v>
      </c>
      <c r="I125" s="14" t="s">
        <v>218</v>
      </c>
      <c r="J125" s="15" t="s">
        <v>216</v>
      </c>
      <c r="K125" s="6">
        <v>44317</v>
      </c>
      <c r="L125" s="22" t="s">
        <v>219</v>
      </c>
      <c r="M125" s="4">
        <f>60000/1.95583</f>
        <v>30677.51287177311</v>
      </c>
      <c r="N125" s="7"/>
      <c r="O125" s="7" t="s">
        <v>21</v>
      </c>
    </row>
    <row r="126" spans="1:15" ht="57.6" x14ac:dyDescent="0.3">
      <c r="A126" s="18">
        <f t="shared" si="1"/>
        <v>124</v>
      </c>
      <c r="B126" s="20" t="s">
        <v>18</v>
      </c>
      <c r="C126" s="16" t="s">
        <v>19</v>
      </c>
      <c r="D126" s="2" t="s">
        <v>20</v>
      </c>
      <c r="E126" s="16" t="s">
        <v>18</v>
      </c>
      <c r="F126" s="11">
        <v>55649667</v>
      </c>
      <c r="G126" s="6">
        <v>43922</v>
      </c>
      <c r="H126" s="6">
        <v>44926</v>
      </c>
      <c r="I126" s="14" t="s">
        <v>220</v>
      </c>
      <c r="J126" s="15" t="s">
        <v>216</v>
      </c>
      <c r="K126" s="6">
        <v>44203</v>
      </c>
      <c r="L126" s="22" t="s">
        <v>221</v>
      </c>
      <c r="M126" s="4">
        <f>50000/1.95583</f>
        <v>25564.594059810926</v>
      </c>
      <c r="N126" s="7"/>
      <c r="O126" s="7" t="s">
        <v>21</v>
      </c>
    </row>
    <row r="127" spans="1:15" ht="57.6" x14ac:dyDescent="0.3">
      <c r="A127" s="18">
        <f t="shared" si="1"/>
        <v>125</v>
      </c>
      <c r="B127" s="20" t="s">
        <v>18</v>
      </c>
      <c r="C127" s="16" t="s">
        <v>19</v>
      </c>
      <c r="D127" s="2" t="s">
        <v>20</v>
      </c>
      <c r="E127" s="16" t="s">
        <v>18</v>
      </c>
      <c r="F127" s="11">
        <v>55649667</v>
      </c>
      <c r="G127" s="6">
        <v>43922</v>
      </c>
      <c r="H127" s="6">
        <v>44926</v>
      </c>
      <c r="I127" s="14" t="s">
        <v>222</v>
      </c>
      <c r="J127" s="15" t="s">
        <v>216</v>
      </c>
      <c r="K127" s="6">
        <v>44404</v>
      </c>
      <c r="L127" s="22" t="s">
        <v>223</v>
      </c>
      <c r="M127" s="4">
        <f>60000/1.95583</f>
        <v>30677.51287177311</v>
      </c>
      <c r="N127" s="7"/>
      <c r="O127" s="7" t="s">
        <v>21</v>
      </c>
    </row>
    <row r="128" spans="1:15" ht="57.6" x14ac:dyDescent="0.3">
      <c r="A128" s="18">
        <f t="shared" si="1"/>
        <v>126</v>
      </c>
      <c r="B128" s="20" t="s">
        <v>18</v>
      </c>
      <c r="C128" s="16" t="s">
        <v>19</v>
      </c>
      <c r="D128" s="2" t="s">
        <v>20</v>
      </c>
      <c r="E128" s="16" t="s">
        <v>18</v>
      </c>
      <c r="F128" s="11">
        <v>55649667</v>
      </c>
      <c r="G128" s="6">
        <v>43922</v>
      </c>
      <c r="H128" s="6">
        <v>44926</v>
      </c>
      <c r="I128" s="14" t="s">
        <v>224</v>
      </c>
      <c r="J128" s="15" t="s">
        <v>216</v>
      </c>
      <c r="K128" s="6">
        <v>44448</v>
      </c>
      <c r="L128" s="22" t="s">
        <v>225</v>
      </c>
      <c r="M128" s="4">
        <f>30000/1.95583</f>
        <v>15338.756435886555</v>
      </c>
      <c r="N128" s="7"/>
      <c r="O128" s="7" t="s">
        <v>21</v>
      </c>
    </row>
    <row r="129" spans="1:15" ht="57.6" x14ac:dyDescent="0.3">
      <c r="A129" s="18">
        <f t="shared" si="1"/>
        <v>127</v>
      </c>
      <c r="B129" s="20" t="s">
        <v>18</v>
      </c>
      <c r="C129" s="16" t="s">
        <v>19</v>
      </c>
      <c r="D129" s="2" t="s">
        <v>20</v>
      </c>
      <c r="E129" s="16" t="s">
        <v>18</v>
      </c>
      <c r="F129" s="11">
        <v>55649667</v>
      </c>
      <c r="G129" s="6">
        <v>43922</v>
      </c>
      <c r="H129" s="6">
        <v>44926</v>
      </c>
      <c r="I129" s="14" t="s">
        <v>227</v>
      </c>
      <c r="J129" s="15" t="s">
        <v>226</v>
      </c>
      <c r="K129" s="6">
        <v>43982</v>
      </c>
      <c r="L129" s="22" t="s">
        <v>230</v>
      </c>
      <c r="M129" s="4">
        <f>517609.7/1.95583</f>
        <v>264649.6372384103</v>
      </c>
      <c r="N129" s="7"/>
      <c r="O129" s="7" t="s">
        <v>21</v>
      </c>
    </row>
    <row r="130" spans="1:15" ht="57.6" x14ac:dyDescent="0.3">
      <c r="A130" s="18">
        <f t="shared" si="1"/>
        <v>128</v>
      </c>
      <c r="B130" s="20" t="s">
        <v>18</v>
      </c>
      <c r="C130" s="16" t="s">
        <v>19</v>
      </c>
      <c r="D130" s="2" t="s">
        <v>20</v>
      </c>
      <c r="E130" s="16" t="s">
        <v>18</v>
      </c>
      <c r="F130" s="11">
        <v>55649667</v>
      </c>
      <c r="G130" s="6">
        <v>43922</v>
      </c>
      <c r="H130" s="6">
        <v>44926</v>
      </c>
      <c r="I130" s="14" t="s">
        <v>228</v>
      </c>
      <c r="J130" s="15" t="s">
        <v>226</v>
      </c>
      <c r="K130" s="6">
        <v>44284</v>
      </c>
      <c r="L130" s="22" t="s">
        <v>230</v>
      </c>
      <c r="M130" s="4">
        <f>371724/1.95583</f>
        <v>190059.46324578312</v>
      </c>
      <c r="N130" s="7"/>
      <c r="O130" s="7" t="s">
        <v>21</v>
      </c>
    </row>
    <row r="131" spans="1:15" ht="57.6" x14ac:dyDescent="0.3">
      <c r="A131" s="18">
        <f t="shared" si="1"/>
        <v>129</v>
      </c>
      <c r="B131" s="20" t="s">
        <v>18</v>
      </c>
      <c r="C131" s="16" t="s">
        <v>19</v>
      </c>
      <c r="D131" s="2" t="s">
        <v>20</v>
      </c>
      <c r="E131" s="16" t="s">
        <v>18</v>
      </c>
      <c r="F131" s="11">
        <v>55649667</v>
      </c>
      <c r="G131" s="6">
        <v>43922</v>
      </c>
      <c r="H131" s="6">
        <v>44926</v>
      </c>
      <c r="I131" s="14" t="s">
        <v>504</v>
      </c>
      <c r="J131" s="15" t="s">
        <v>229</v>
      </c>
      <c r="K131" s="6">
        <v>43861</v>
      </c>
      <c r="L131" s="22" t="s">
        <v>505</v>
      </c>
      <c r="M131" s="4">
        <f>59082.53/1.95583</f>
        <v>30208.417909532014</v>
      </c>
      <c r="N131" s="7"/>
      <c r="O131" s="7" t="s">
        <v>21</v>
      </c>
    </row>
    <row r="132" spans="1:15" ht="57.6" x14ac:dyDescent="0.3">
      <c r="A132" s="18">
        <f t="shared" si="1"/>
        <v>130</v>
      </c>
      <c r="B132" s="20" t="s">
        <v>18</v>
      </c>
      <c r="C132" s="16" t="s">
        <v>19</v>
      </c>
      <c r="D132" s="2" t="s">
        <v>20</v>
      </c>
      <c r="E132" s="16" t="s">
        <v>18</v>
      </c>
      <c r="F132" s="11">
        <v>55649667</v>
      </c>
      <c r="G132" s="6">
        <v>43922</v>
      </c>
      <c r="H132" s="6">
        <v>44926</v>
      </c>
      <c r="I132" s="14" t="s">
        <v>231</v>
      </c>
      <c r="J132" s="15" t="s">
        <v>232</v>
      </c>
      <c r="K132" s="6">
        <v>44075</v>
      </c>
      <c r="L132" s="22" t="s">
        <v>233</v>
      </c>
      <c r="M132" s="4">
        <f>158972.15/1.95583</f>
        <v>81281.169631307421</v>
      </c>
      <c r="N132" s="7"/>
      <c r="O132" s="7" t="s">
        <v>21</v>
      </c>
    </row>
    <row r="133" spans="1:15" ht="57.6" x14ac:dyDescent="0.3">
      <c r="A133" s="18">
        <f t="shared" ref="A133:A196" si="2">+A132+1</f>
        <v>131</v>
      </c>
      <c r="B133" s="20" t="s">
        <v>18</v>
      </c>
      <c r="C133" s="16" t="s">
        <v>19</v>
      </c>
      <c r="D133" s="2" t="s">
        <v>20</v>
      </c>
      <c r="E133" s="16" t="s">
        <v>18</v>
      </c>
      <c r="F133" s="11">
        <v>55649667</v>
      </c>
      <c r="G133" s="6">
        <v>43922</v>
      </c>
      <c r="H133" s="6">
        <v>44926</v>
      </c>
      <c r="I133" s="14" t="s">
        <v>234</v>
      </c>
      <c r="J133" s="15" t="s">
        <v>235</v>
      </c>
      <c r="K133" s="6">
        <v>43327</v>
      </c>
      <c r="L133" s="22" t="s">
        <v>236</v>
      </c>
      <c r="M133" s="4">
        <f>24358.85/1.95583</f>
        <v>12454.482240276506</v>
      </c>
      <c r="N133" s="7"/>
      <c r="O133" s="7" t="s">
        <v>21</v>
      </c>
    </row>
    <row r="134" spans="1:15" ht="57.6" x14ac:dyDescent="0.3">
      <c r="A134" s="18">
        <f t="shared" si="2"/>
        <v>132</v>
      </c>
      <c r="B134" s="20" t="s">
        <v>18</v>
      </c>
      <c r="C134" s="16" t="s">
        <v>19</v>
      </c>
      <c r="D134" s="2" t="s">
        <v>20</v>
      </c>
      <c r="E134" s="16" t="s">
        <v>18</v>
      </c>
      <c r="F134" s="11">
        <v>55649667</v>
      </c>
      <c r="G134" s="6">
        <v>43922</v>
      </c>
      <c r="H134" s="6">
        <v>44926</v>
      </c>
      <c r="I134" s="14" t="s">
        <v>237</v>
      </c>
      <c r="J134" s="14" t="s">
        <v>238</v>
      </c>
      <c r="K134" s="6">
        <v>44256</v>
      </c>
      <c r="L134" s="22" t="s">
        <v>239</v>
      </c>
      <c r="M134" s="4">
        <f>40440/1.95583</f>
        <v>20676.643675575076</v>
      </c>
      <c r="N134" s="7"/>
      <c r="O134" s="7" t="s">
        <v>21</v>
      </c>
    </row>
    <row r="135" spans="1:15" ht="57.6" x14ac:dyDescent="0.3">
      <c r="A135" s="18">
        <f t="shared" si="2"/>
        <v>133</v>
      </c>
      <c r="B135" s="20" t="s">
        <v>18</v>
      </c>
      <c r="C135" s="16" t="s">
        <v>19</v>
      </c>
      <c r="D135" s="2" t="s">
        <v>20</v>
      </c>
      <c r="E135" s="16" t="s">
        <v>18</v>
      </c>
      <c r="F135" s="11">
        <v>55649667</v>
      </c>
      <c r="G135" s="6">
        <v>43922</v>
      </c>
      <c r="H135" s="6">
        <v>44926</v>
      </c>
      <c r="I135" s="14" t="s">
        <v>240</v>
      </c>
      <c r="J135" s="15" t="s">
        <v>241</v>
      </c>
      <c r="K135" s="6">
        <v>43953</v>
      </c>
      <c r="L135" s="22" t="s">
        <v>242</v>
      </c>
      <c r="M135" s="4">
        <f>42000/1.95583</f>
        <v>21474.259010241178</v>
      </c>
      <c r="N135" s="7"/>
      <c r="O135" s="7" t="s">
        <v>21</v>
      </c>
    </row>
    <row r="136" spans="1:15" ht="57.6" x14ac:dyDescent="0.3">
      <c r="A136" s="18">
        <f t="shared" si="2"/>
        <v>134</v>
      </c>
      <c r="B136" s="20" t="s">
        <v>18</v>
      </c>
      <c r="C136" s="16" t="s">
        <v>19</v>
      </c>
      <c r="D136" s="2" t="s">
        <v>20</v>
      </c>
      <c r="E136" s="16" t="s">
        <v>18</v>
      </c>
      <c r="F136" s="11">
        <v>55649667</v>
      </c>
      <c r="G136" s="6">
        <v>43922</v>
      </c>
      <c r="H136" s="6">
        <v>44926</v>
      </c>
      <c r="I136" s="14" t="s">
        <v>494</v>
      </c>
      <c r="J136" s="15" t="s">
        <v>493</v>
      </c>
      <c r="K136" s="6">
        <v>43235</v>
      </c>
      <c r="L136" s="22" t="s">
        <v>509</v>
      </c>
      <c r="M136" s="4">
        <f>39600/1.95583</f>
        <v>20247.158495370251</v>
      </c>
      <c r="N136" s="7"/>
      <c r="O136" s="7" t="s">
        <v>21</v>
      </c>
    </row>
    <row r="137" spans="1:15" ht="57.6" x14ac:dyDescent="0.3">
      <c r="A137" s="18">
        <f t="shared" si="2"/>
        <v>135</v>
      </c>
      <c r="B137" s="20" t="s">
        <v>18</v>
      </c>
      <c r="C137" s="16" t="s">
        <v>19</v>
      </c>
      <c r="D137" s="2" t="s">
        <v>20</v>
      </c>
      <c r="E137" s="16" t="s">
        <v>18</v>
      </c>
      <c r="F137" s="11">
        <v>55649667</v>
      </c>
      <c r="G137" s="6">
        <v>43922</v>
      </c>
      <c r="H137" s="6">
        <v>44926</v>
      </c>
      <c r="I137" s="14" t="s">
        <v>506</v>
      </c>
      <c r="J137" s="15" t="s">
        <v>507</v>
      </c>
      <c r="K137" s="6">
        <v>44445</v>
      </c>
      <c r="L137" s="22" t="s">
        <v>508</v>
      </c>
      <c r="M137" s="4">
        <f>115696/1.95583</f>
        <v>59154.425486877692</v>
      </c>
      <c r="N137" s="7"/>
      <c r="O137" s="7" t="s">
        <v>21</v>
      </c>
    </row>
    <row r="138" spans="1:15" ht="57.6" x14ac:dyDescent="0.3">
      <c r="A138" s="18">
        <f t="shared" si="2"/>
        <v>136</v>
      </c>
      <c r="B138" s="20" t="s">
        <v>18</v>
      </c>
      <c r="C138" s="16" t="s">
        <v>19</v>
      </c>
      <c r="D138" s="2" t="s">
        <v>20</v>
      </c>
      <c r="E138" s="16" t="s">
        <v>18</v>
      </c>
      <c r="F138" s="11">
        <v>55649667</v>
      </c>
      <c r="G138" s="6">
        <v>43922</v>
      </c>
      <c r="H138" s="6">
        <v>44926</v>
      </c>
      <c r="I138" s="14" t="s">
        <v>243</v>
      </c>
      <c r="J138" s="15" t="s">
        <v>244</v>
      </c>
      <c r="K138" s="6"/>
      <c r="L138" s="22" t="s">
        <v>176</v>
      </c>
      <c r="M138" s="4">
        <f>21218.9/1.95583</f>
        <v>10849.051297914441</v>
      </c>
      <c r="N138" s="7"/>
      <c r="O138" s="7" t="s">
        <v>21</v>
      </c>
    </row>
    <row r="139" spans="1:15" ht="57.6" x14ac:dyDescent="0.3">
      <c r="A139" s="18">
        <f t="shared" si="2"/>
        <v>137</v>
      </c>
      <c r="B139" s="20" t="s">
        <v>18</v>
      </c>
      <c r="C139" s="16" t="s">
        <v>19</v>
      </c>
      <c r="D139" s="2" t="s">
        <v>20</v>
      </c>
      <c r="E139" s="16" t="s">
        <v>18</v>
      </c>
      <c r="F139" s="11">
        <v>55649667</v>
      </c>
      <c r="G139" s="6">
        <v>43922</v>
      </c>
      <c r="H139" s="6">
        <v>44926</v>
      </c>
      <c r="I139" s="14" t="s">
        <v>245</v>
      </c>
      <c r="J139" s="15" t="s">
        <v>244</v>
      </c>
      <c r="K139" s="6">
        <v>44151</v>
      </c>
      <c r="L139" s="22" t="s">
        <v>246</v>
      </c>
      <c r="M139" s="4">
        <f>38190/1.95583</f>
        <v>19526.236942883585</v>
      </c>
      <c r="N139" s="7"/>
      <c r="O139" s="7" t="s">
        <v>21</v>
      </c>
    </row>
    <row r="140" spans="1:15" ht="57.6" x14ac:dyDescent="0.3">
      <c r="A140" s="18">
        <f t="shared" si="2"/>
        <v>138</v>
      </c>
      <c r="B140" s="20" t="s">
        <v>18</v>
      </c>
      <c r="C140" s="16" t="s">
        <v>19</v>
      </c>
      <c r="D140" s="2" t="s">
        <v>20</v>
      </c>
      <c r="E140" s="16" t="s">
        <v>18</v>
      </c>
      <c r="F140" s="11">
        <v>55649667</v>
      </c>
      <c r="G140" s="6">
        <v>43922</v>
      </c>
      <c r="H140" s="6">
        <v>44926</v>
      </c>
      <c r="I140" s="14" t="s">
        <v>247</v>
      </c>
      <c r="J140" s="15" t="s">
        <v>244</v>
      </c>
      <c r="K140" s="29">
        <v>44546</v>
      </c>
      <c r="L140" s="22" t="s">
        <v>248</v>
      </c>
      <c r="M140" s="4">
        <f>481596/1.95583</f>
        <v>246236.12481657404</v>
      </c>
      <c r="N140" s="7"/>
      <c r="O140" s="7" t="s">
        <v>21</v>
      </c>
    </row>
    <row r="141" spans="1:15" ht="57.6" x14ac:dyDescent="0.3">
      <c r="A141" s="18">
        <f t="shared" si="2"/>
        <v>139</v>
      </c>
      <c r="B141" s="20" t="s">
        <v>18</v>
      </c>
      <c r="C141" s="16" t="s">
        <v>19</v>
      </c>
      <c r="D141" s="2" t="s">
        <v>20</v>
      </c>
      <c r="E141" s="16" t="s">
        <v>18</v>
      </c>
      <c r="F141" s="11">
        <v>55649667</v>
      </c>
      <c r="G141" s="6">
        <v>43922</v>
      </c>
      <c r="H141" s="6">
        <v>44926</v>
      </c>
      <c r="I141" s="14" t="s">
        <v>249</v>
      </c>
      <c r="J141" s="15" t="s">
        <v>244</v>
      </c>
      <c r="K141" s="6">
        <v>44390</v>
      </c>
      <c r="L141" s="22" t="s">
        <v>250</v>
      </c>
      <c r="M141" s="4">
        <f>295872/1.95583</f>
        <v>151276.95147328757</v>
      </c>
      <c r="N141" s="7"/>
      <c r="O141" s="7" t="s">
        <v>21</v>
      </c>
    </row>
    <row r="142" spans="1:15" ht="57.6" x14ac:dyDescent="0.3">
      <c r="A142" s="18">
        <f t="shared" si="2"/>
        <v>140</v>
      </c>
      <c r="B142" s="20" t="s">
        <v>18</v>
      </c>
      <c r="C142" s="16" t="s">
        <v>19</v>
      </c>
      <c r="D142" s="2" t="s">
        <v>20</v>
      </c>
      <c r="E142" s="16" t="s">
        <v>18</v>
      </c>
      <c r="F142" s="11">
        <v>55649667</v>
      </c>
      <c r="G142" s="6">
        <v>43922</v>
      </c>
      <c r="H142" s="6">
        <v>44926</v>
      </c>
      <c r="I142" s="14" t="s">
        <v>558</v>
      </c>
      <c r="J142" s="15" t="s">
        <v>244</v>
      </c>
      <c r="K142" s="6">
        <v>44562</v>
      </c>
      <c r="L142" s="22" t="s">
        <v>557</v>
      </c>
      <c r="M142" s="4">
        <f>161559/1.95583</f>
        <v>82603.805034179866</v>
      </c>
      <c r="N142" s="7"/>
      <c r="O142" s="7" t="s">
        <v>21</v>
      </c>
    </row>
    <row r="143" spans="1:15" ht="57.6" x14ac:dyDescent="0.3">
      <c r="A143" s="18">
        <f t="shared" si="2"/>
        <v>141</v>
      </c>
      <c r="B143" s="20" t="s">
        <v>18</v>
      </c>
      <c r="C143" s="16" t="s">
        <v>19</v>
      </c>
      <c r="D143" s="2" t="s">
        <v>20</v>
      </c>
      <c r="E143" s="16" t="s">
        <v>18</v>
      </c>
      <c r="F143" s="11">
        <v>55649667</v>
      </c>
      <c r="G143" s="6">
        <v>43922</v>
      </c>
      <c r="H143" s="6">
        <v>44926</v>
      </c>
      <c r="I143" s="14" t="s">
        <v>251</v>
      </c>
      <c r="J143" s="15" t="s">
        <v>244</v>
      </c>
      <c r="K143" s="6">
        <v>44187</v>
      </c>
      <c r="L143" s="22" t="s">
        <v>252</v>
      </c>
      <c r="M143" s="4">
        <f>42183.2/1.95583</f>
        <v>21567.927682876321</v>
      </c>
      <c r="N143" s="7"/>
      <c r="O143" s="7" t="s">
        <v>21</v>
      </c>
    </row>
    <row r="144" spans="1:15" ht="57.6" x14ac:dyDescent="0.3">
      <c r="A144" s="18">
        <f t="shared" si="2"/>
        <v>142</v>
      </c>
      <c r="B144" s="20" t="s">
        <v>18</v>
      </c>
      <c r="C144" s="16" t="s">
        <v>19</v>
      </c>
      <c r="D144" s="2" t="s">
        <v>20</v>
      </c>
      <c r="E144" s="16" t="s">
        <v>18</v>
      </c>
      <c r="F144" s="11">
        <v>55649667</v>
      </c>
      <c r="G144" s="6">
        <v>43922</v>
      </c>
      <c r="H144" s="6">
        <v>44926</v>
      </c>
      <c r="I144" s="14" t="s">
        <v>253</v>
      </c>
      <c r="J144" s="15" t="s">
        <v>244</v>
      </c>
      <c r="K144" s="6">
        <v>44390</v>
      </c>
      <c r="L144" s="22" t="s">
        <v>254</v>
      </c>
      <c r="M144" s="4">
        <f>36662.4/1.95583</f>
        <v>18745.187465168241</v>
      </c>
      <c r="N144" s="7"/>
      <c r="O144" s="7" t="s">
        <v>21</v>
      </c>
    </row>
    <row r="145" spans="1:15" ht="57.6" x14ac:dyDescent="0.3">
      <c r="A145" s="18">
        <f t="shared" si="2"/>
        <v>143</v>
      </c>
      <c r="B145" s="20" t="s">
        <v>18</v>
      </c>
      <c r="C145" s="16" t="s">
        <v>19</v>
      </c>
      <c r="D145" s="2" t="s">
        <v>20</v>
      </c>
      <c r="E145" s="16" t="s">
        <v>18</v>
      </c>
      <c r="F145" s="11">
        <v>55649667</v>
      </c>
      <c r="G145" s="6">
        <v>43922</v>
      </c>
      <c r="H145" s="6">
        <v>44926</v>
      </c>
      <c r="I145" s="14" t="s">
        <v>561</v>
      </c>
      <c r="J145" s="15" t="s">
        <v>244</v>
      </c>
      <c r="K145" s="6">
        <v>44578</v>
      </c>
      <c r="L145" s="22" t="s">
        <v>562</v>
      </c>
      <c r="M145" s="4">
        <f>34174.4/1.95583</f>
        <v>17473.093264752049</v>
      </c>
      <c r="N145" s="7"/>
      <c r="O145" s="7" t="s">
        <v>21</v>
      </c>
    </row>
    <row r="146" spans="1:15" ht="57.6" x14ac:dyDescent="0.3">
      <c r="A146" s="18">
        <f t="shared" si="2"/>
        <v>144</v>
      </c>
      <c r="B146" s="20" t="s">
        <v>18</v>
      </c>
      <c r="C146" s="16" t="s">
        <v>19</v>
      </c>
      <c r="D146" s="2" t="s">
        <v>20</v>
      </c>
      <c r="E146" s="16" t="s">
        <v>18</v>
      </c>
      <c r="F146" s="11">
        <v>55649667</v>
      </c>
      <c r="G146" s="6">
        <v>43922</v>
      </c>
      <c r="H146" s="6">
        <v>44926</v>
      </c>
      <c r="I146" s="14" t="s">
        <v>255</v>
      </c>
      <c r="J146" s="15" t="s">
        <v>244</v>
      </c>
      <c r="K146" s="6">
        <v>44148</v>
      </c>
      <c r="L146" s="22" t="s">
        <v>256</v>
      </c>
      <c r="M146" s="4">
        <f>22136.8/1.95583</f>
        <v>11318.366115664448</v>
      </c>
      <c r="N146" s="7"/>
      <c r="O146" s="7" t="s">
        <v>21</v>
      </c>
    </row>
    <row r="147" spans="1:15" ht="57.6" x14ac:dyDescent="0.3">
      <c r="A147" s="18">
        <f t="shared" si="2"/>
        <v>145</v>
      </c>
      <c r="B147" s="20" t="s">
        <v>18</v>
      </c>
      <c r="C147" s="16" t="s">
        <v>19</v>
      </c>
      <c r="D147" s="2" t="s">
        <v>20</v>
      </c>
      <c r="E147" s="16" t="s">
        <v>18</v>
      </c>
      <c r="F147" s="11">
        <v>55649667</v>
      </c>
      <c r="G147" s="6">
        <v>43922</v>
      </c>
      <c r="H147" s="6">
        <v>44926</v>
      </c>
      <c r="I147" s="14" t="s">
        <v>257</v>
      </c>
      <c r="J147" s="15" t="s">
        <v>244</v>
      </c>
      <c r="K147" s="6">
        <v>44187</v>
      </c>
      <c r="L147" s="22" t="s">
        <v>258</v>
      </c>
      <c r="M147" s="4">
        <f>263149.2/1.95583</f>
        <v>134546.04950327994</v>
      </c>
      <c r="N147" s="7"/>
      <c r="O147" s="7" t="s">
        <v>21</v>
      </c>
    </row>
    <row r="148" spans="1:15" ht="57.6" x14ac:dyDescent="0.3">
      <c r="A148" s="18">
        <f t="shared" si="2"/>
        <v>146</v>
      </c>
      <c r="B148" s="20" t="s">
        <v>18</v>
      </c>
      <c r="C148" s="16" t="s">
        <v>19</v>
      </c>
      <c r="D148" s="2" t="s">
        <v>20</v>
      </c>
      <c r="E148" s="16" t="s">
        <v>18</v>
      </c>
      <c r="F148" s="11">
        <v>55649667</v>
      </c>
      <c r="G148" s="6">
        <v>43922</v>
      </c>
      <c r="H148" s="6">
        <v>44926</v>
      </c>
      <c r="I148" s="14" t="s">
        <v>259</v>
      </c>
      <c r="J148" s="15" t="s">
        <v>244</v>
      </c>
      <c r="K148" s="6">
        <v>44390</v>
      </c>
      <c r="L148" s="22" t="s">
        <v>260</v>
      </c>
      <c r="M148" s="4">
        <f>221904/1.95583</f>
        <v>113457.71360496567</v>
      </c>
      <c r="N148" s="7"/>
      <c r="O148" s="7" t="s">
        <v>21</v>
      </c>
    </row>
    <row r="149" spans="1:15" ht="57.6" x14ac:dyDescent="0.3">
      <c r="A149" s="18">
        <f t="shared" si="2"/>
        <v>147</v>
      </c>
      <c r="B149" s="20" t="s">
        <v>18</v>
      </c>
      <c r="C149" s="16" t="s">
        <v>19</v>
      </c>
      <c r="D149" s="2" t="s">
        <v>20</v>
      </c>
      <c r="E149" s="16" t="s">
        <v>18</v>
      </c>
      <c r="F149" s="11">
        <v>55649667</v>
      </c>
      <c r="G149" s="6">
        <v>43922</v>
      </c>
      <c r="H149" s="6">
        <v>44926</v>
      </c>
      <c r="I149" s="14" t="s">
        <v>559</v>
      </c>
      <c r="J149" s="15" t="s">
        <v>244</v>
      </c>
      <c r="K149" s="6">
        <v>44562</v>
      </c>
      <c r="L149" s="22" t="s">
        <v>560</v>
      </c>
      <c r="M149" s="4">
        <f>122202/1.95583</f>
        <v>62480.890465940291</v>
      </c>
      <c r="N149" s="7"/>
      <c r="O149" s="7" t="s">
        <v>21</v>
      </c>
    </row>
    <row r="150" spans="1:15" ht="57.6" x14ac:dyDescent="0.3">
      <c r="A150" s="18">
        <f t="shared" si="2"/>
        <v>148</v>
      </c>
      <c r="B150" s="20" t="s">
        <v>18</v>
      </c>
      <c r="C150" s="16" t="s">
        <v>19</v>
      </c>
      <c r="D150" s="2" t="s">
        <v>20</v>
      </c>
      <c r="E150" s="16" t="s">
        <v>18</v>
      </c>
      <c r="F150" s="11">
        <v>55649667</v>
      </c>
      <c r="G150" s="6">
        <v>43922</v>
      </c>
      <c r="H150" s="6">
        <v>44926</v>
      </c>
      <c r="I150" s="14" t="s">
        <v>261</v>
      </c>
      <c r="J150" s="15" t="s">
        <v>262</v>
      </c>
      <c r="K150" s="6">
        <v>44070</v>
      </c>
      <c r="L150" s="22" t="s">
        <v>263</v>
      </c>
      <c r="M150" s="4">
        <f>48000/1.95583</f>
        <v>24542.010297418488</v>
      </c>
      <c r="N150" s="7"/>
      <c r="O150" s="7" t="s">
        <v>21</v>
      </c>
    </row>
    <row r="151" spans="1:15" ht="57.6" x14ac:dyDescent="0.3">
      <c r="A151" s="18">
        <f t="shared" si="2"/>
        <v>149</v>
      </c>
      <c r="B151" s="20" t="s">
        <v>18</v>
      </c>
      <c r="C151" s="16" t="s">
        <v>19</v>
      </c>
      <c r="D151" s="2" t="s">
        <v>20</v>
      </c>
      <c r="E151" s="16" t="s">
        <v>18</v>
      </c>
      <c r="F151" s="11">
        <v>55649667</v>
      </c>
      <c r="G151" s="6">
        <v>43922</v>
      </c>
      <c r="H151" s="6">
        <v>44926</v>
      </c>
      <c r="I151" s="14" t="s">
        <v>264</v>
      </c>
      <c r="J151" s="15" t="s">
        <v>262</v>
      </c>
      <c r="K151" s="6">
        <v>44260</v>
      </c>
      <c r="L151" s="22" t="s">
        <v>265</v>
      </c>
      <c r="M151" s="4">
        <f>136480/1.95583</f>
        <v>69781.115945659898</v>
      </c>
      <c r="N151" s="7"/>
      <c r="O151" s="7" t="s">
        <v>21</v>
      </c>
    </row>
    <row r="152" spans="1:15" ht="57.6" x14ac:dyDescent="0.3">
      <c r="A152" s="18">
        <f t="shared" si="2"/>
        <v>150</v>
      </c>
      <c r="B152" s="20" t="s">
        <v>18</v>
      </c>
      <c r="C152" s="16" t="s">
        <v>19</v>
      </c>
      <c r="D152" s="2" t="s">
        <v>20</v>
      </c>
      <c r="E152" s="16" t="s">
        <v>18</v>
      </c>
      <c r="F152" s="11">
        <v>55649667</v>
      </c>
      <c r="G152" s="6">
        <v>43922</v>
      </c>
      <c r="H152" s="6">
        <v>44926</v>
      </c>
      <c r="I152" s="14" t="s">
        <v>266</v>
      </c>
      <c r="J152" s="15" t="s">
        <v>262</v>
      </c>
      <c r="K152" s="6">
        <v>44449</v>
      </c>
      <c r="L152" s="22" t="s">
        <v>267</v>
      </c>
      <c r="M152" s="4">
        <f>79900/1.95583</f>
        <v>40852.221307577856</v>
      </c>
      <c r="N152" s="7"/>
      <c r="O152" s="7" t="s">
        <v>21</v>
      </c>
    </row>
    <row r="153" spans="1:15" ht="57.6" x14ac:dyDescent="0.3">
      <c r="A153" s="18">
        <f t="shared" si="2"/>
        <v>151</v>
      </c>
      <c r="B153" s="20" t="s">
        <v>18</v>
      </c>
      <c r="C153" s="16" t="s">
        <v>19</v>
      </c>
      <c r="D153" s="2" t="s">
        <v>20</v>
      </c>
      <c r="E153" s="16" t="s">
        <v>18</v>
      </c>
      <c r="F153" s="11">
        <v>55649667</v>
      </c>
      <c r="G153" s="6">
        <v>43922</v>
      </c>
      <c r="H153" s="6">
        <v>44926</v>
      </c>
      <c r="I153" s="14" t="s">
        <v>268</v>
      </c>
      <c r="J153" s="15" t="s">
        <v>262</v>
      </c>
      <c r="K153" s="6">
        <v>44069</v>
      </c>
      <c r="L153" s="22" t="s">
        <v>269</v>
      </c>
      <c r="M153" s="4">
        <f>93700/1.17</f>
        <v>80085.470085470093</v>
      </c>
      <c r="N153" s="7"/>
      <c r="O153" s="7" t="s">
        <v>21</v>
      </c>
    </row>
    <row r="154" spans="1:15" ht="57.6" x14ac:dyDescent="0.3">
      <c r="A154" s="18">
        <f t="shared" si="2"/>
        <v>152</v>
      </c>
      <c r="B154" s="20" t="s">
        <v>18</v>
      </c>
      <c r="C154" s="16" t="s">
        <v>19</v>
      </c>
      <c r="D154" s="2" t="s">
        <v>20</v>
      </c>
      <c r="E154" s="16" t="s">
        <v>18</v>
      </c>
      <c r="F154" s="11">
        <v>55649667</v>
      </c>
      <c r="G154" s="6">
        <v>43922</v>
      </c>
      <c r="H154" s="6">
        <v>44926</v>
      </c>
      <c r="I154" s="14" t="s">
        <v>270</v>
      </c>
      <c r="J154" s="15" t="s">
        <v>271</v>
      </c>
      <c r="K154" s="6">
        <v>44302</v>
      </c>
      <c r="L154" s="22" t="s">
        <v>272</v>
      </c>
      <c r="M154" s="4">
        <f>79962/1.95583</f>
        <v>40883.921404212022</v>
      </c>
      <c r="N154" s="7"/>
      <c r="O154" s="7" t="s">
        <v>21</v>
      </c>
    </row>
    <row r="155" spans="1:15" ht="57.6" x14ac:dyDescent="0.3">
      <c r="A155" s="18">
        <f t="shared" si="2"/>
        <v>153</v>
      </c>
      <c r="B155" s="20" t="s">
        <v>18</v>
      </c>
      <c r="C155" s="16" t="s">
        <v>19</v>
      </c>
      <c r="D155" s="2" t="s">
        <v>20</v>
      </c>
      <c r="E155" s="16" t="s">
        <v>18</v>
      </c>
      <c r="F155" s="11">
        <v>55649667</v>
      </c>
      <c r="G155" s="6">
        <v>43922</v>
      </c>
      <c r="H155" s="6">
        <v>44926</v>
      </c>
      <c r="I155" s="14" t="s">
        <v>273</v>
      </c>
      <c r="J155" s="15" t="s">
        <v>274</v>
      </c>
      <c r="K155" s="6">
        <v>44300</v>
      </c>
      <c r="L155" s="22" t="s">
        <v>275</v>
      </c>
      <c r="M155" s="4">
        <f>83386.5/1.95583</f>
        <v>42634.840451368473</v>
      </c>
      <c r="N155" s="7"/>
      <c r="O155" s="7" t="s">
        <v>21</v>
      </c>
    </row>
    <row r="156" spans="1:15" ht="57.6" x14ac:dyDescent="0.3">
      <c r="A156" s="18">
        <f t="shared" si="2"/>
        <v>154</v>
      </c>
      <c r="B156" s="20" t="s">
        <v>18</v>
      </c>
      <c r="C156" s="16" t="s">
        <v>19</v>
      </c>
      <c r="D156" s="2" t="s">
        <v>20</v>
      </c>
      <c r="E156" s="16" t="s">
        <v>18</v>
      </c>
      <c r="F156" s="11">
        <v>55649667</v>
      </c>
      <c r="G156" s="6">
        <v>43922</v>
      </c>
      <c r="H156" s="6">
        <v>44926</v>
      </c>
      <c r="I156" s="14" t="s">
        <v>276</v>
      </c>
      <c r="J156" s="15" t="s">
        <v>277</v>
      </c>
      <c r="K156" s="6">
        <v>44440</v>
      </c>
      <c r="L156" s="22" t="s">
        <v>278</v>
      </c>
      <c r="M156" s="4">
        <f>192500/1.95583</f>
        <v>98423.687130272054</v>
      </c>
      <c r="N156" s="7"/>
      <c r="O156" s="7" t="s">
        <v>21</v>
      </c>
    </row>
    <row r="157" spans="1:15" ht="57.6" x14ac:dyDescent="0.3">
      <c r="A157" s="18">
        <f t="shared" si="2"/>
        <v>155</v>
      </c>
      <c r="B157" s="20" t="s">
        <v>18</v>
      </c>
      <c r="C157" s="16" t="s">
        <v>19</v>
      </c>
      <c r="D157" s="2" t="s">
        <v>20</v>
      </c>
      <c r="E157" s="16" t="s">
        <v>18</v>
      </c>
      <c r="F157" s="11">
        <v>55649667</v>
      </c>
      <c r="G157" s="6">
        <v>43922</v>
      </c>
      <c r="H157" s="6">
        <v>44926</v>
      </c>
      <c r="I157" s="14" t="s">
        <v>279</v>
      </c>
      <c r="J157" s="15" t="s">
        <v>277</v>
      </c>
      <c r="K157" s="6">
        <v>44326</v>
      </c>
      <c r="L157" s="22" t="s">
        <v>280</v>
      </c>
      <c r="M157" s="4">
        <f>25200/1.95583</f>
        <v>12884.555406144706</v>
      </c>
      <c r="N157" s="7"/>
      <c r="O157" s="7" t="s">
        <v>21</v>
      </c>
    </row>
    <row r="158" spans="1:15" ht="57.6" x14ac:dyDescent="0.3">
      <c r="A158" s="18">
        <f t="shared" si="2"/>
        <v>156</v>
      </c>
      <c r="B158" s="20" t="s">
        <v>18</v>
      </c>
      <c r="C158" s="16" t="s">
        <v>19</v>
      </c>
      <c r="D158" s="2" t="s">
        <v>20</v>
      </c>
      <c r="E158" s="16" t="s">
        <v>18</v>
      </c>
      <c r="F158" s="11">
        <v>55649667</v>
      </c>
      <c r="G158" s="6">
        <v>43922</v>
      </c>
      <c r="H158" s="6">
        <v>44926</v>
      </c>
      <c r="I158" s="14" t="s">
        <v>281</v>
      </c>
      <c r="J158" s="15" t="s">
        <v>282</v>
      </c>
      <c r="K158" s="6">
        <v>43993</v>
      </c>
      <c r="L158" s="22" t="s">
        <v>283</v>
      </c>
      <c r="M158" s="4">
        <f>235762.59/1.95583</f>
        <v>120543.49815679278</v>
      </c>
      <c r="N158" s="7"/>
      <c r="O158" s="7" t="s">
        <v>21</v>
      </c>
    </row>
    <row r="159" spans="1:15" ht="57.6" x14ac:dyDescent="0.3">
      <c r="A159" s="18">
        <f t="shared" si="2"/>
        <v>157</v>
      </c>
      <c r="B159" s="20" t="s">
        <v>18</v>
      </c>
      <c r="C159" s="16" t="s">
        <v>19</v>
      </c>
      <c r="D159" s="2" t="s">
        <v>20</v>
      </c>
      <c r="E159" s="16" t="s">
        <v>18</v>
      </c>
      <c r="F159" s="11">
        <v>55649667</v>
      </c>
      <c r="G159" s="6">
        <v>43922</v>
      </c>
      <c r="H159" s="6">
        <v>44926</v>
      </c>
      <c r="I159" s="14" t="s">
        <v>284</v>
      </c>
      <c r="J159" s="15" t="s">
        <v>282</v>
      </c>
      <c r="K159" s="6">
        <v>44117</v>
      </c>
      <c r="L159" s="22" t="s">
        <v>285</v>
      </c>
      <c r="M159" s="4">
        <f>41600/1.95583</f>
        <v>21269.742257762689</v>
      </c>
      <c r="N159" s="7"/>
      <c r="O159" s="7" t="s">
        <v>21</v>
      </c>
    </row>
    <row r="160" spans="1:15" ht="57.6" x14ac:dyDescent="0.3">
      <c r="A160" s="18">
        <f t="shared" si="2"/>
        <v>158</v>
      </c>
      <c r="B160" s="20" t="s">
        <v>18</v>
      </c>
      <c r="C160" s="16" t="s">
        <v>19</v>
      </c>
      <c r="D160" s="2" t="s">
        <v>20</v>
      </c>
      <c r="E160" s="16" t="s">
        <v>18</v>
      </c>
      <c r="F160" s="11">
        <v>55649667</v>
      </c>
      <c r="G160" s="6">
        <v>43922</v>
      </c>
      <c r="H160" s="6">
        <v>44926</v>
      </c>
      <c r="I160" s="14" t="s">
        <v>286</v>
      </c>
      <c r="J160" s="15" t="s">
        <v>282</v>
      </c>
      <c r="K160" s="6">
        <v>44117</v>
      </c>
      <c r="L160" s="22" t="s">
        <v>287</v>
      </c>
      <c r="M160" s="4">
        <f>29750/1.95583</f>
        <v>15210.933465587501</v>
      </c>
      <c r="N160" s="7"/>
      <c r="O160" s="7" t="s">
        <v>21</v>
      </c>
    </row>
    <row r="161" spans="1:15" ht="57.6" x14ac:dyDescent="0.3">
      <c r="A161" s="18">
        <f t="shared" si="2"/>
        <v>159</v>
      </c>
      <c r="B161" s="20" t="s">
        <v>18</v>
      </c>
      <c r="C161" s="16" t="s">
        <v>19</v>
      </c>
      <c r="D161" s="2" t="s">
        <v>20</v>
      </c>
      <c r="E161" s="16" t="s">
        <v>18</v>
      </c>
      <c r="F161" s="11">
        <v>55649667</v>
      </c>
      <c r="G161" s="6">
        <v>43922</v>
      </c>
      <c r="H161" s="6">
        <v>44926</v>
      </c>
      <c r="I161" s="14" t="s">
        <v>288</v>
      </c>
      <c r="J161" s="15" t="s">
        <v>282</v>
      </c>
      <c r="K161" s="6">
        <v>44117</v>
      </c>
      <c r="L161" s="22" t="s">
        <v>289</v>
      </c>
      <c r="M161" s="4">
        <f>24080/1.95583</f>
        <v>12311.908499204941</v>
      </c>
      <c r="N161" s="7"/>
      <c r="O161" s="7" t="s">
        <v>21</v>
      </c>
    </row>
    <row r="162" spans="1:15" ht="57.6" x14ac:dyDescent="0.3">
      <c r="A162" s="18">
        <f t="shared" si="2"/>
        <v>160</v>
      </c>
      <c r="B162" s="20" t="s">
        <v>18</v>
      </c>
      <c r="C162" s="16" t="s">
        <v>19</v>
      </c>
      <c r="D162" s="2" t="s">
        <v>20</v>
      </c>
      <c r="E162" s="16" t="s">
        <v>18</v>
      </c>
      <c r="F162" s="11">
        <v>55649667</v>
      </c>
      <c r="G162" s="6">
        <v>43922</v>
      </c>
      <c r="H162" s="6">
        <v>44926</v>
      </c>
      <c r="I162" s="14" t="s">
        <v>290</v>
      </c>
      <c r="J162" s="15" t="s">
        <v>282</v>
      </c>
      <c r="K162" s="6">
        <v>44117</v>
      </c>
      <c r="L162" s="22" t="s">
        <v>291</v>
      </c>
      <c r="M162" s="4">
        <f>43120/1.95583</f>
        <v>22046.905917180942</v>
      </c>
      <c r="N162" s="7"/>
      <c r="O162" s="7" t="s">
        <v>21</v>
      </c>
    </row>
    <row r="163" spans="1:15" ht="57.6" x14ac:dyDescent="0.3">
      <c r="A163" s="18">
        <f t="shared" si="2"/>
        <v>161</v>
      </c>
      <c r="B163" s="20" t="s">
        <v>18</v>
      </c>
      <c r="C163" s="16" t="s">
        <v>19</v>
      </c>
      <c r="D163" s="2" t="s">
        <v>20</v>
      </c>
      <c r="E163" s="16" t="s">
        <v>18</v>
      </c>
      <c r="F163" s="11">
        <v>55649667</v>
      </c>
      <c r="G163" s="6">
        <v>43922</v>
      </c>
      <c r="H163" s="6">
        <v>44926</v>
      </c>
      <c r="I163" s="14" t="s">
        <v>292</v>
      </c>
      <c r="J163" s="15" t="s">
        <v>293</v>
      </c>
      <c r="K163" s="6">
        <v>44680</v>
      </c>
      <c r="L163" s="22" t="s">
        <v>294</v>
      </c>
      <c r="M163" s="4">
        <f>524610/1.95583</f>
        <v>268228.83379434817</v>
      </c>
      <c r="N163" s="7"/>
      <c r="O163" s="7" t="s">
        <v>21</v>
      </c>
    </row>
    <row r="164" spans="1:15" ht="57.6" x14ac:dyDescent="0.3">
      <c r="A164" s="18">
        <f t="shared" si="2"/>
        <v>162</v>
      </c>
      <c r="B164" s="20" t="s">
        <v>18</v>
      </c>
      <c r="C164" s="16" t="s">
        <v>19</v>
      </c>
      <c r="D164" s="2" t="s">
        <v>20</v>
      </c>
      <c r="E164" s="16" t="s">
        <v>18</v>
      </c>
      <c r="F164" s="11">
        <v>55649667</v>
      </c>
      <c r="G164" s="6">
        <v>43922</v>
      </c>
      <c r="H164" s="6">
        <v>44926</v>
      </c>
      <c r="I164" s="14" t="s">
        <v>295</v>
      </c>
      <c r="J164" s="15" t="s">
        <v>296</v>
      </c>
      <c r="K164" s="6">
        <v>44363</v>
      </c>
      <c r="L164" s="22" t="s">
        <v>297</v>
      </c>
      <c r="M164" s="4">
        <f>39260.77/1.95583</f>
        <v>20073.712950512057</v>
      </c>
      <c r="N164" s="7"/>
      <c r="O164" s="7" t="s">
        <v>21</v>
      </c>
    </row>
    <row r="165" spans="1:15" ht="57.6" x14ac:dyDescent="0.3">
      <c r="A165" s="18">
        <f t="shared" si="2"/>
        <v>163</v>
      </c>
      <c r="B165" s="20" t="s">
        <v>18</v>
      </c>
      <c r="C165" s="16" t="s">
        <v>19</v>
      </c>
      <c r="D165" s="2" t="s">
        <v>20</v>
      </c>
      <c r="E165" s="16" t="s">
        <v>18</v>
      </c>
      <c r="F165" s="11">
        <v>55649667</v>
      </c>
      <c r="G165" s="6">
        <v>43922</v>
      </c>
      <c r="H165" s="6">
        <v>44926</v>
      </c>
      <c r="I165" s="14" t="s">
        <v>462</v>
      </c>
      <c r="J165" s="15" t="s">
        <v>298</v>
      </c>
      <c r="K165" s="6">
        <v>43983</v>
      </c>
      <c r="L165" s="28" t="s">
        <v>299</v>
      </c>
      <c r="M165" s="4">
        <f>90369.18/1.95583</f>
        <v>46205.028044359678</v>
      </c>
      <c r="N165" s="7"/>
      <c r="O165" s="7" t="s">
        <v>21</v>
      </c>
    </row>
    <row r="166" spans="1:15" ht="57.6" x14ac:dyDescent="0.3">
      <c r="A166" s="18">
        <f t="shared" si="2"/>
        <v>164</v>
      </c>
      <c r="B166" s="20" t="s">
        <v>18</v>
      </c>
      <c r="C166" s="16" t="s">
        <v>19</v>
      </c>
      <c r="D166" s="2" t="s">
        <v>20</v>
      </c>
      <c r="E166" s="16" t="s">
        <v>18</v>
      </c>
      <c r="F166" s="11">
        <v>55649667</v>
      </c>
      <c r="G166" s="6">
        <v>43922</v>
      </c>
      <c r="H166" s="6">
        <v>44926</v>
      </c>
      <c r="I166" s="14" t="s">
        <v>300</v>
      </c>
      <c r="J166" s="15" t="s">
        <v>298</v>
      </c>
      <c r="K166" s="6">
        <v>44379</v>
      </c>
      <c r="L166" s="22" t="s">
        <v>301</v>
      </c>
      <c r="M166" s="4">
        <f>110345.41/1.95583</f>
        <v>56418.712260268025</v>
      </c>
      <c r="N166" s="7"/>
      <c r="O166" s="7" t="s">
        <v>21</v>
      </c>
    </row>
    <row r="167" spans="1:15" ht="57.6" x14ac:dyDescent="0.3">
      <c r="A167" s="18">
        <f t="shared" si="2"/>
        <v>165</v>
      </c>
      <c r="B167" s="20" t="s">
        <v>18</v>
      </c>
      <c r="C167" s="16" t="s">
        <v>19</v>
      </c>
      <c r="D167" s="2" t="s">
        <v>20</v>
      </c>
      <c r="E167" s="16" t="s">
        <v>18</v>
      </c>
      <c r="F167" s="11">
        <v>55649667</v>
      </c>
      <c r="G167" s="6">
        <v>43922</v>
      </c>
      <c r="H167" s="6">
        <v>44926</v>
      </c>
      <c r="I167" s="14" t="s">
        <v>302</v>
      </c>
      <c r="J167" s="15" t="s">
        <v>298</v>
      </c>
      <c r="K167" s="6">
        <v>44431</v>
      </c>
      <c r="L167" s="22" t="s">
        <v>303</v>
      </c>
      <c r="M167" s="4">
        <f>78262/1.95583</f>
        <v>40014.725206178453</v>
      </c>
      <c r="N167" s="7"/>
      <c r="O167" s="7" t="s">
        <v>21</v>
      </c>
    </row>
    <row r="168" spans="1:15" ht="57.6" x14ac:dyDescent="0.3">
      <c r="A168" s="18">
        <f t="shared" si="2"/>
        <v>166</v>
      </c>
      <c r="B168" s="20" t="s">
        <v>18</v>
      </c>
      <c r="C168" s="16" t="s">
        <v>19</v>
      </c>
      <c r="D168" s="2" t="s">
        <v>20</v>
      </c>
      <c r="E168" s="16" t="s">
        <v>18</v>
      </c>
      <c r="F168" s="11">
        <v>55649667</v>
      </c>
      <c r="G168" s="6">
        <v>43922</v>
      </c>
      <c r="H168" s="6">
        <v>44926</v>
      </c>
      <c r="I168" s="14" t="s">
        <v>304</v>
      </c>
      <c r="J168" s="15" t="s">
        <v>298</v>
      </c>
      <c r="K168" s="6">
        <v>44500</v>
      </c>
      <c r="L168" s="22" t="s">
        <v>305</v>
      </c>
      <c r="M168" s="4">
        <f>37665/1.95583</f>
        <v>19257.808705255571</v>
      </c>
      <c r="N168" s="7"/>
      <c r="O168" s="7" t="s">
        <v>21</v>
      </c>
    </row>
    <row r="169" spans="1:15" ht="57.6" x14ac:dyDescent="0.3">
      <c r="A169" s="18">
        <f t="shared" si="2"/>
        <v>167</v>
      </c>
      <c r="B169" s="20" t="s">
        <v>18</v>
      </c>
      <c r="C169" s="16" t="s">
        <v>19</v>
      </c>
      <c r="D169" s="2" t="s">
        <v>20</v>
      </c>
      <c r="E169" s="16" t="s">
        <v>18</v>
      </c>
      <c r="F169" s="11">
        <v>55649667</v>
      </c>
      <c r="G169" s="6">
        <v>43922</v>
      </c>
      <c r="H169" s="6">
        <v>44926</v>
      </c>
      <c r="I169" s="14" t="s">
        <v>306</v>
      </c>
      <c r="J169" s="15" t="s">
        <v>298</v>
      </c>
      <c r="K169" s="6">
        <v>44596</v>
      </c>
      <c r="L169" s="22" t="s">
        <v>307</v>
      </c>
      <c r="M169" s="4">
        <f>608716.78/1.95583</f>
        <v>311231.94756190467</v>
      </c>
      <c r="N169" s="7"/>
      <c r="O169" s="7" t="s">
        <v>21</v>
      </c>
    </row>
    <row r="170" spans="1:15" ht="57.6" x14ac:dyDescent="0.3">
      <c r="A170" s="18">
        <f t="shared" si="2"/>
        <v>168</v>
      </c>
      <c r="B170" s="20" t="s">
        <v>18</v>
      </c>
      <c r="C170" s="16" t="s">
        <v>19</v>
      </c>
      <c r="D170" s="2" t="s">
        <v>20</v>
      </c>
      <c r="E170" s="16" t="s">
        <v>18</v>
      </c>
      <c r="F170" s="11">
        <v>55649667</v>
      </c>
      <c r="G170" s="6">
        <v>43922</v>
      </c>
      <c r="H170" s="6">
        <v>44926</v>
      </c>
      <c r="I170" s="14" t="s">
        <v>308</v>
      </c>
      <c r="J170" s="15" t="s">
        <v>298</v>
      </c>
      <c r="K170" s="6">
        <v>44666</v>
      </c>
      <c r="L170" s="22" t="s">
        <v>309</v>
      </c>
      <c r="M170" s="4">
        <f>180107.28/1.95583</f>
        <v>92087.390008334056</v>
      </c>
      <c r="N170" s="7"/>
      <c r="O170" s="7" t="s">
        <v>21</v>
      </c>
    </row>
    <row r="171" spans="1:15" ht="57.6" x14ac:dyDescent="0.3">
      <c r="A171" s="18">
        <f t="shared" si="2"/>
        <v>169</v>
      </c>
      <c r="B171" s="20" t="s">
        <v>18</v>
      </c>
      <c r="C171" s="16" t="s">
        <v>19</v>
      </c>
      <c r="D171" s="2" t="s">
        <v>20</v>
      </c>
      <c r="E171" s="16" t="s">
        <v>18</v>
      </c>
      <c r="F171" s="11">
        <v>55649667</v>
      </c>
      <c r="G171" s="6">
        <v>43922</v>
      </c>
      <c r="H171" s="6">
        <v>44926</v>
      </c>
      <c r="I171" s="14" t="s">
        <v>310</v>
      </c>
      <c r="J171" s="15" t="s">
        <v>311</v>
      </c>
      <c r="K171" s="6">
        <v>44137</v>
      </c>
      <c r="L171" s="22" t="s">
        <v>312</v>
      </c>
      <c r="M171" s="4">
        <f>59248.1/1.95583</f>
        <v>30293.072506301673</v>
      </c>
      <c r="N171" s="7"/>
      <c r="O171" s="7" t="s">
        <v>21</v>
      </c>
    </row>
    <row r="172" spans="1:15" ht="57.6" x14ac:dyDescent="0.3">
      <c r="A172" s="18">
        <f t="shared" si="2"/>
        <v>170</v>
      </c>
      <c r="B172" s="20" t="s">
        <v>18</v>
      </c>
      <c r="C172" s="16" t="s">
        <v>19</v>
      </c>
      <c r="D172" s="2" t="s">
        <v>20</v>
      </c>
      <c r="E172" s="16" t="s">
        <v>18</v>
      </c>
      <c r="F172" s="11">
        <v>55649667</v>
      </c>
      <c r="G172" s="6">
        <v>43922</v>
      </c>
      <c r="H172" s="6">
        <v>44926</v>
      </c>
      <c r="I172" s="14" t="s">
        <v>313</v>
      </c>
      <c r="J172" s="15" t="s">
        <v>311</v>
      </c>
      <c r="K172" s="6">
        <v>44048</v>
      </c>
      <c r="L172" s="22" t="s">
        <v>314</v>
      </c>
      <c r="M172" s="4">
        <f>457086.84/1.95583</f>
        <v>233704.79029363496</v>
      </c>
      <c r="N172" s="7"/>
      <c r="O172" s="7" t="s">
        <v>21</v>
      </c>
    </row>
    <row r="173" spans="1:15" ht="57.6" x14ac:dyDescent="0.3">
      <c r="A173" s="18">
        <f t="shared" si="2"/>
        <v>171</v>
      </c>
      <c r="B173" s="20" t="s">
        <v>18</v>
      </c>
      <c r="C173" s="16" t="s">
        <v>19</v>
      </c>
      <c r="D173" s="2" t="s">
        <v>20</v>
      </c>
      <c r="E173" s="16" t="s">
        <v>18</v>
      </c>
      <c r="F173" s="11">
        <v>55649667</v>
      </c>
      <c r="G173" s="6">
        <v>43922</v>
      </c>
      <c r="H173" s="6">
        <v>44926</v>
      </c>
      <c r="I173" s="14" t="s">
        <v>315</v>
      </c>
      <c r="J173" s="15" t="s">
        <v>311</v>
      </c>
      <c r="K173" s="6">
        <v>44146</v>
      </c>
      <c r="L173" s="22" t="s">
        <v>316</v>
      </c>
      <c r="M173" s="4">
        <f>208632.27/1.95583</f>
        <v>106671.98580653737</v>
      </c>
      <c r="N173" s="7"/>
      <c r="O173" s="7" t="s">
        <v>21</v>
      </c>
    </row>
    <row r="174" spans="1:15" ht="57.6" x14ac:dyDescent="0.3">
      <c r="A174" s="18">
        <f t="shared" si="2"/>
        <v>172</v>
      </c>
      <c r="B174" s="20" t="s">
        <v>18</v>
      </c>
      <c r="C174" s="16" t="s">
        <v>19</v>
      </c>
      <c r="D174" s="2" t="s">
        <v>20</v>
      </c>
      <c r="E174" s="16" t="s">
        <v>18</v>
      </c>
      <c r="F174" s="11">
        <v>55649667</v>
      </c>
      <c r="G174" s="6">
        <v>43922</v>
      </c>
      <c r="H174" s="6">
        <v>44926</v>
      </c>
      <c r="I174" s="14" t="s">
        <v>317</v>
      </c>
      <c r="J174" s="15" t="s">
        <v>311</v>
      </c>
      <c r="K174" s="6">
        <v>44280</v>
      </c>
      <c r="L174" s="22" t="s">
        <v>318</v>
      </c>
      <c r="M174" s="4">
        <f>228435.14/1.95583</f>
        <v>116797.03246192155</v>
      </c>
      <c r="N174" s="7"/>
      <c r="O174" s="7" t="s">
        <v>21</v>
      </c>
    </row>
    <row r="175" spans="1:15" ht="57.6" x14ac:dyDescent="0.3">
      <c r="A175" s="18">
        <f t="shared" si="2"/>
        <v>173</v>
      </c>
      <c r="B175" s="20" t="s">
        <v>18</v>
      </c>
      <c r="C175" s="16" t="s">
        <v>19</v>
      </c>
      <c r="D175" s="2" t="s">
        <v>20</v>
      </c>
      <c r="E175" s="16" t="s">
        <v>18</v>
      </c>
      <c r="F175" s="11">
        <v>55649667</v>
      </c>
      <c r="G175" s="6">
        <v>43922</v>
      </c>
      <c r="H175" s="6">
        <v>44926</v>
      </c>
      <c r="I175" s="14" t="s">
        <v>319</v>
      </c>
      <c r="J175" s="15" t="s">
        <v>311</v>
      </c>
      <c r="K175" s="6">
        <v>44255</v>
      </c>
      <c r="L175" s="22"/>
      <c r="M175" s="4">
        <f>125749.46/1.95583</f>
        <v>64294.67796280863</v>
      </c>
      <c r="N175" s="7"/>
      <c r="O175" s="7" t="s">
        <v>21</v>
      </c>
    </row>
    <row r="176" spans="1:15" ht="57.6" x14ac:dyDescent="0.3">
      <c r="A176" s="18">
        <f t="shared" si="2"/>
        <v>174</v>
      </c>
      <c r="B176" s="20" t="s">
        <v>18</v>
      </c>
      <c r="C176" s="16" t="s">
        <v>19</v>
      </c>
      <c r="D176" s="2" t="s">
        <v>20</v>
      </c>
      <c r="E176" s="16" t="s">
        <v>18</v>
      </c>
      <c r="F176" s="11">
        <v>55649667</v>
      </c>
      <c r="G176" s="6">
        <v>43922</v>
      </c>
      <c r="H176" s="6">
        <v>44926</v>
      </c>
      <c r="I176" s="14" t="s">
        <v>320</v>
      </c>
      <c r="J176" s="15" t="s">
        <v>321</v>
      </c>
      <c r="K176" s="6">
        <v>44480</v>
      </c>
      <c r="L176" s="22" t="s">
        <v>322</v>
      </c>
      <c r="M176" s="4">
        <f>66330/1.95583</f>
        <v>33913.990479745175</v>
      </c>
      <c r="N176" s="7"/>
      <c r="O176" s="7" t="s">
        <v>21</v>
      </c>
    </row>
    <row r="177" spans="1:15" ht="57.6" x14ac:dyDescent="0.3">
      <c r="A177" s="18">
        <f t="shared" si="2"/>
        <v>175</v>
      </c>
      <c r="B177" s="20" t="s">
        <v>18</v>
      </c>
      <c r="C177" s="16" t="s">
        <v>19</v>
      </c>
      <c r="D177" s="2" t="s">
        <v>20</v>
      </c>
      <c r="E177" s="16" t="s">
        <v>18</v>
      </c>
      <c r="F177" s="11">
        <v>55649667</v>
      </c>
      <c r="G177" s="6">
        <v>43922</v>
      </c>
      <c r="H177" s="6">
        <v>44926</v>
      </c>
      <c r="I177" s="14" t="s">
        <v>320</v>
      </c>
      <c r="J177" s="15" t="s">
        <v>321</v>
      </c>
      <c r="K177" s="6">
        <v>44518</v>
      </c>
      <c r="L177" s="22" t="s">
        <v>323</v>
      </c>
      <c r="M177" s="4">
        <f>47168/1.95583</f>
        <v>24116.615452263235</v>
      </c>
      <c r="N177" s="7"/>
      <c r="O177" s="7" t="s">
        <v>21</v>
      </c>
    </row>
    <row r="178" spans="1:15" ht="57.6" x14ac:dyDescent="0.3">
      <c r="A178" s="18">
        <f t="shared" si="2"/>
        <v>176</v>
      </c>
      <c r="B178" s="20" t="s">
        <v>18</v>
      </c>
      <c r="C178" s="16" t="s">
        <v>19</v>
      </c>
      <c r="D178" s="2" t="s">
        <v>20</v>
      </c>
      <c r="E178" s="16" t="s">
        <v>18</v>
      </c>
      <c r="F178" s="11">
        <v>55649667</v>
      </c>
      <c r="G178" s="6">
        <v>43922</v>
      </c>
      <c r="H178" s="6">
        <v>44926</v>
      </c>
      <c r="I178" s="14" t="s">
        <v>324</v>
      </c>
      <c r="J178" s="15" t="s">
        <v>325</v>
      </c>
      <c r="K178" s="6">
        <v>44173</v>
      </c>
      <c r="L178" s="22" t="s">
        <v>326</v>
      </c>
      <c r="M178" s="4">
        <f>230882.3/1.95583</f>
        <v>118048.24550190967</v>
      </c>
      <c r="N178" s="7"/>
      <c r="O178" s="7" t="s">
        <v>21</v>
      </c>
    </row>
    <row r="179" spans="1:15" ht="57.6" x14ac:dyDescent="0.3">
      <c r="A179" s="18">
        <f t="shared" si="2"/>
        <v>177</v>
      </c>
      <c r="B179" s="20" t="s">
        <v>18</v>
      </c>
      <c r="C179" s="16" t="s">
        <v>19</v>
      </c>
      <c r="D179" s="2" t="s">
        <v>20</v>
      </c>
      <c r="E179" s="16" t="s">
        <v>18</v>
      </c>
      <c r="F179" s="11">
        <v>55649667</v>
      </c>
      <c r="G179" s="6">
        <v>43922</v>
      </c>
      <c r="H179" s="6">
        <v>44926</v>
      </c>
      <c r="I179" s="14" t="s">
        <v>327</v>
      </c>
      <c r="J179" s="15" t="s">
        <v>328</v>
      </c>
      <c r="K179" s="6">
        <v>44291</v>
      </c>
      <c r="L179" s="22" t="s">
        <v>329</v>
      </c>
      <c r="M179" s="4">
        <f>111111.12/1.95583</f>
        <v>56810.213566618775</v>
      </c>
      <c r="N179" s="7"/>
      <c r="O179" s="7" t="s">
        <v>21</v>
      </c>
    </row>
    <row r="180" spans="1:15" ht="57.6" x14ac:dyDescent="0.3">
      <c r="A180" s="18">
        <f t="shared" si="2"/>
        <v>178</v>
      </c>
      <c r="B180" s="20" t="s">
        <v>18</v>
      </c>
      <c r="C180" s="16" t="s">
        <v>19</v>
      </c>
      <c r="D180" s="2" t="s">
        <v>20</v>
      </c>
      <c r="E180" s="16" t="s">
        <v>18</v>
      </c>
      <c r="F180" s="11">
        <v>55649667</v>
      </c>
      <c r="G180" s="6">
        <v>43922</v>
      </c>
      <c r="H180" s="6">
        <v>44926</v>
      </c>
      <c r="I180" s="14" t="s">
        <v>503</v>
      </c>
      <c r="J180" s="15" t="s">
        <v>489</v>
      </c>
      <c r="K180" s="6">
        <v>44230</v>
      </c>
      <c r="L180" s="22" t="s">
        <v>490</v>
      </c>
      <c r="M180" s="4">
        <f>50300/1.95583</f>
        <v>25717.981624169792</v>
      </c>
      <c r="N180" s="7"/>
      <c r="O180" s="7" t="s">
        <v>21</v>
      </c>
    </row>
    <row r="181" spans="1:15" ht="57.6" x14ac:dyDescent="0.3">
      <c r="A181" s="18">
        <f t="shared" si="2"/>
        <v>179</v>
      </c>
      <c r="B181" s="20" t="s">
        <v>18</v>
      </c>
      <c r="C181" s="16" t="s">
        <v>19</v>
      </c>
      <c r="D181" s="2" t="s">
        <v>20</v>
      </c>
      <c r="E181" s="16" t="s">
        <v>18</v>
      </c>
      <c r="F181" s="11">
        <v>55649667</v>
      </c>
      <c r="G181" s="6">
        <v>43922</v>
      </c>
      <c r="H181" s="6">
        <v>44926</v>
      </c>
      <c r="I181" s="14" t="s">
        <v>330</v>
      </c>
      <c r="J181" s="15" t="s">
        <v>331</v>
      </c>
      <c r="K181" s="6">
        <v>44056</v>
      </c>
      <c r="L181" s="22" t="s">
        <v>332</v>
      </c>
      <c r="M181" s="4">
        <f>208433.94/1.95583</f>
        <v>106570.58128773974</v>
      </c>
      <c r="N181" s="7"/>
      <c r="O181" s="7" t="s">
        <v>21</v>
      </c>
    </row>
    <row r="182" spans="1:15" ht="57.6" x14ac:dyDescent="0.3">
      <c r="A182" s="18">
        <f t="shared" si="2"/>
        <v>180</v>
      </c>
      <c r="B182" s="20" t="s">
        <v>18</v>
      </c>
      <c r="C182" s="16" t="s">
        <v>19</v>
      </c>
      <c r="D182" s="2" t="s">
        <v>20</v>
      </c>
      <c r="E182" s="16" t="s">
        <v>18</v>
      </c>
      <c r="F182" s="11">
        <v>55649667</v>
      </c>
      <c r="G182" s="6">
        <v>43922</v>
      </c>
      <c r="H182" s="6">
        <v>44926</v>
      </c>
      <c r="I182" s="14" t="s">
        <v>333</v>
      </c>
      <c r="J182" s="15" t="s">
        <v>331</v>
      </c>
      <c r="K182" s="6">
        <v>44122</v>
      </c>
      <c r="L182" s="22" t="s">
        <v>334</v>
      </c>
      <c r="M182" s="4">
        <f>130955.16/1.95583</f>
        <v>66956.310108751786</v>
      </c>
      <c r="N182" s="7"/>
      <c r="O182" s="7" t="s">
        <v>21</v>
      </c>
    </row>
    <row r="183" spans="1:15" ht="57.6" x14ac:dyDescent="0.3">
      <c r="A183" s="18">
        <f t="shared" si="2"/>
        <v>181</v>
      </c>
      <c r="B183" s="20" t="s">
        <v>18</v>
      </c>
      <c r="C183" s="16" t="s">
        <v>19</v>
      </c>
      <c r="D183" s="2" t="s">
        <v>20</v>
      </c>
      <c r="E183" s="16" t="s">
        <v>18</v>
      </c>
      <c r="F183" s="11">
        <v>55649667</v>
      </c>
      <c r="G183" s="6">
        <v>43922</v>
      </c>
      <c r="H183" s="6">
        <v>44926</v>
      </c>
      <c r="I183" s="14" t="s">
        <v>335</v>
      </c>
      <c r="J183" s="15" t="s">
        <v>331</v>
      </c>
      <c r="K183" s="6">
        <v>44214</v>
      </c>
      <c r="L183" s="22" t="s">
        <v>336</v>
      </c>
      <c r="M183" s="4">
        <f>458343.06/1.95583</f>
        <v>234347.08538063124</v>
      </c>
      <c r="N183" s="7"/>
      <c r="O183" s="7" t="s">
        <v>21</v>
      </c>
    </row>
    <row r="184" spans="1:15" ht="57.6" x14ac:dyDescent="0.3">
      <c r="A184" s="18">
        <f t="shared" si="2"/>
        <v>182</v>
      </c>
      <c r="B184" s="20" t="s">
        <v>18</v>
      </c>
      <c r="C184" s="16" t="s">
        <v>19</v>
      </c>
      <c r="D184" s="2" t="s">
        <v>20</v>
      </c>
      <c r="E184" s="16" t="s">
        <v>18</v>
      </c>
      <c r="F184" s="11">
        <v>55649667</v>
      </c>
      <c r="G184" s="6">
        <v>43922</v>
      </c>
      <c r="H184" s="6">
        <v>44926</v>
      </c>
      <c r="I184" s="14" t="s">
        <v>337</v>
      </c>
      <c r="J184" s="15" t="s">
        <v>331</v>
      </c>
      <c r="K184" s="29">
        <v>44393</v>
      </c>
      <c r="L184" s="22"/>
      <c r="M184" s="4">
        <f>392865.48/1.95583</f>
        <v>200868.93032625536</v>
      </c>
      <c r="N184" s="7"/>
      <c r="O184" s="7" t="s">
        <v>21</v>
      </c>
    </row>
    <row r="185" spans="1:15" ht="57.6" x14ac:dyDescent="0.3">
      <c r="A185" s="18">
        <f t="shared" si="2"/>
        <v>183</v>
      </c>
      <c r="B185" s="20" t="s">
        <v>18</v>
      </c>
      <c r="C185" s="16" t="s">
        <v>19</v>
      </c>
      <c r="D185" s="2" t="s">
        <v>20</v>
      </c>
      <c r="E185" s="16" t="s">
        <v>18</v>
      </c>
      <c r="F185" s="11">
        <v>55649667</v>
      </c>
      <c r="G185" s="6">
        <v>43922</v>
      </c>
      <c r="H185" s="6">
        <v>44926</v>
      </c>
      <c r="I185" s="14" t="s">
        <v>338</v>
      </c>
      <c r="J185" s="15" t="s">
        <v>331</v>
      </c>
      <c r="K185" s="6">
        <v>44608</v>
      </c>
      <c r="L185" s="22" t="s">
        <v>339</v>
      </c>
      <c r="M185" s="4">
        <f>196432.74/1.95583</f>
        <v>100434.46516312768</v>
      </c>
      <c r="N185" s="7"/>
      <c r="O185" s="7" t="s">
        <v>21</v>
      </c>
    </row>
    <row r="186" spans="1:15" ht="57.6" x14ac:dyDescent="0.3">
      <c r="A186" s="18">
        <f t="shared" si="2"/>
        <v>184</v>
      </c>
      <c r="B186" s="20" t="s">
        <v>18</v>
      </c>
      <c r="C186" s="16" t="s">
        <v>19</v>
      </c>
      <c r="D186" s="2" t="s">
        <v>20</v>
      </c>
      <c r="E186" s="16" t="s">
        <v>18</v>
      </c>
      <c r="F186" s="11">
        <v>55649667</v>
      </c>
      <c r="G186" s="6">
        <v>43922</v>
      </c>
      <c r="H186" s="6">
        <v>44926</v>
      </c>
      <c r="I186" s="14" t="s">
        <v>340</v>
      </c>
      <c r="J186" s="15" t="s">
        <v>331</v>
      </c>
      <c r="K186" s="6">
        <v>44664</v>
      </c>
      <c r="L186" s="22" t="s">
        <v>341</v>
      </c>
      <c r="M186" s="4">
        <f>130955.16/1.95583</f>
        <v>66956.310108751786</v>
      </c>
      <c r="N186" s="7"/>
      <c r="O186" s="7" t="s">
        <v>21</v>
      </c>
    </row>
    <row r="187" spans="1:15" ht="57.6" x14ac:dyDescent="0.3">
      <c r="A187" s="18">
        <f t="shared" si="2"/>
        <v>185</v>
      </c>
      <c r="B187" s="20" t="s">
        <v>18</v>
      </c>
      <c r="C187" s="16" t="s">
        <v>19</v>
      </c>
      <c r="D187" s="2" t="s">
        <v>20</v>
      </c>
      <c r="E187" s="16" t="s">
        <v>18</v>
      </c>
      <c r="F187" s="11">
        <v>55649667</v>
      </c>
      <c r="G187" s="6">
        <v>43922</v>
      </c>
      <c r="H187" s="6">
        <v>44926</v>
      </c>
      <c r="I187" s="14" t="s">
        <v>342</v>
      </c>
      <c r="J187" s="15" t="s">
        <v>343</v>
      </c>
      <c r="K187" s="6">
        <v>44007</v>
      </c>
      <c r="L187" s="22" t="s">
        <v>344</v>
      </c>
      <c r="M187" s="4">
        <f>(61205.54+1510.69)/1.95583</f>
        <v>32066.299218234715</v>
      </c>
      <c r="N187" s="7"/>
      <c r="O187" s="7" t="s">
        <v>21</v>
      </c>
    </row>
    <row r="188" spans="1:15" ht="57.6" x14ac:dyDescent="0.3">
      <c r="A188" s="18">
        <f t="shared" si="2"/>
        <v>186</v>
      </c>
      <c r="B188" s="20" t="s">
        <v>18</v>
      </c>
      <c r="C188" s="16" t="s">
        <v>19</v>
      </c>
      <c r="D188" s="2" t="s">
        <v>20</v>
      </c>
      <c r="E188" s="16" t="s">
        <v>18</v>
      </c>
      <c r="F188" s="11">
        <v>55649667</v>
      </c>
      <c r="G188" s="6">
        <v>43922</v>
      </c>
      <c r="H188" s="6">
        <v>44926</v>
      </c>
      <c r="I188" s="14" t="s">
        <v>345</v>
      </c>
      <c r="J188" s="15" t="s">
        <v>343</v>
      </c>
      <c r="K188" s="6">
        <v>44111</v>
      </c>
      <c r="L188" s="22" t="s">
        <v>346</v>
      </c>
      <c r="M188" s="4">
        <f>(274069.29+4529.03)/1.95583</f>
        <v>142445.05913090607</v>
      </c>
      <c r="N188" s="7"/>
      <c r="O188" s="7" t="s">
        <v>21</v>
      </c>
    </row>
    <row r="189" spans="1:15" ht="57.6" x14ac:dyDescent="0.3">
      <c r="A189" s="18">
        <f t="shared" si="2"/>
        <v>187</v>
      </c>
      <c r="B189" s="20" t="s">
        <v>18</v>
      </c>
      <c r="C189" s="16" t="s">
        <v>19</v>
      </c>
      <c r="D189" s="2" t="s">
        <v>20</v>
      </c>
      <c r="E189" s="16" t="s">
        <v>18</v>
      </c>
      <c r="F189" s="11">
        <v>55649667</v>
      </c>
      <c r="G189" s="6">
        <v>43922</v>
      </c>
      <c r="H189" s="6">
        <v>44926</v>
      </c>
      <c r="I189" s="14" t="s">
        <v>347</v>
      </c>
      <c r="J189" s="15" t="s">
        <v>343</v>
      </c>
      <c r="K189" s="6">
        <v>44202</v>
      </c>
      <c r="L189" s="22" t="s">
        <v>348</v>
      </c>
      <c r="M189" s="4">
        <f>678929.96/1.95583</f>
        <v>347131.37644887337</v>
      </c>
      <c r="N189" s="7"/>
      <c r="O189" s="7" t="s">
        <v>21</v>
      </c>
    </row>
    <row r="190" spans="1:15" ht="57.6" x14ac:dyDescent="0.3">
      <c r="A190" s="18">
        <f t="shared" si="2"/>
        <v>188</v>
      </c>
      <c r="B190" s="20" t="s">
        <v>18</v>
      </c>
      <c r="C190" s="16" t="s">
        <v>19</v>
      </c>
      <c r="D190" s="2" t="s">
        <v>20</v>
      </c>
      <c r="E190" s="16" t="s">
        <v>18</v>
      </c>
      <c r="F190" s="11">
        <v>55649667</v>
      </c>
      <c r="G190" s="6">
        <v>43922</v>
      </c>
      <c r="H190" s="6">
        <v>44926</v>
      </c>
      <c r="I190" s="14" t="s">
        <v>349</v>
      </c>
      <c r="J190" s="15" t="s">
        <v>343</v>
      </c>
      <c r="K190" s="6">
        <v>44403</v>
      </c>
      <c r="L190" s="22" t="s">
        <v>350</v>
      </c>
      <c r="M190" s="4">
        <f>195955.24/1.95583</f>
        <v>100190.32328985647</v>
      </c>
      <c r="N190" s="7"/>
      <c r="O190" s="7" t="s">
        <v>21</v>
      </c>
    </row>
    <row r="191" spans="1:15" ht="57.6" x14ac:dyDescent="0.3">
      <c r="A191" s="18">
        <f t="shared" si="2"/>
        <v>189</v>
      </c>
      <c r="B191" s="20" t="s">
        <v>18</v>
      </c>
      <c r="C191" s="16" t="s">
        <v>19</v>
      </c>
      <c r="D191" s="2" t="s">
        <v>20</v>
      </c>
      <c r="E191" s="16" t="s">
        <v>18</v>
      </c>
      <c r="F191" s="11">
        <v>55649667</v>
      </c>
      <c r="G191" s="6">
        <v>43922</v>
      </c>
      <c r="H191" s="6">
        <v>44926</v>
      </c>
      <c r="I191" s="14" t="s">
        <v>351</v>
      </c>
      <c r="J191" s="15" t="s">
        <v>352</v>
      </c>
      <c r="K191" s="6">
        <v>44273</v>
      </c>
      <c r="L191" s="22" t="s">
        <v>353</v>
      </c>
      <c r="M191" s="4">
        <f>300219.9/1.95583</f>
        <v>153499.9974435406</v>
      </c>
      <c r="N191" s="7"/>
      <c r="O191" s="7" t="s">
        <v>21</v>
      </c>
    </row>
    <row r="192" spans="1:15" ht="57.6" x14ac:dyDescent="0.3">
      <c r="A192" s="18">
        <f t="shared" si="2"/>
        <v>190</v>
      </c>
      <c r="B192" s="20" t="s">
        <v>18</v>
      </c>
      <c r="C192" s="16" t="s">
        <v>19</v>
      </c>
      <c r="D192" s="2" t="s">
        <v>20</v>
      </c>
      <c r="E192" s="16" t="s">
        <v>18</v>
      </c>
      <c r="F192" s="11">
        <v>55649667</v>
      </c>
      <c r="G192" s="6">
        <v>43922</v>
      </c>
      <c r="H192" s="6">
        <v>44926</v>
      </c>
      <c r="I192" s="14" t="s">
        <v>354</v>
      </c>
      <c r="J192" s="15" t="s">
        <v>352</v>
      </c>
      <c r="K192" s="6">
        <v>44539</v>
      </c>
      <c r="L192" s="22" t="s">
        <v>355</v>
      </c>
      <c r="M192" s="4">
        <f>371236.09/1.95583</f>
        <v>189809.99882402868</v>
      </c>
      <c r="N192" s="7"/>
      <c r="O192" s="7" t="s">
        <v>21</v>
      </c>
    </row>
    <row r="193" spans="1:15" ht="57.6" x14ac:dyDescent="0.3">
      <c r="A193" s="18">
        <f t="shared" si="2"/>
        <v>191</v>
      </c>
      <c r="B193" s="20" t="s">
        <v>18</v>
      </c>
      <c r="C193" s="16" t="s">
        <v>19</v>
      </c>
      <c r="D193" s="2" t="s">
        <v>20</v>
      </c>
      <c r="E193" s="16" t="s">
        <v>18</v>
      </c>
      <c r="F193" s="11">
        <v>55649667</v>
      </c>
      <c r="G193" s="6">
        <v>43922</v>
      </c>
      <c r="H193" s="6">
        <v>44926</v>
      </c>
      <c r="I193" s="14" t="s">
        <v>356</v>
      </c>
      <c r="J193" s="15" t="s">
        <v>357</v>
      </c>
      <c r="K193" s="6">
        <v>44480</v>
      </c>
      <c r="L193" s="22" t="s">
        <v>358</v>
      </c>
      <c r="M193" s="4">
        <f>33419.5/1.95583</f>
        <v>17087.119023637024</v>
      </c>
      <c r="N193" s="7"/>
      <c r="O193" s="7" t="s">
        <v>21</v>
      </c>
    </row>
    <row r="194" spans="1:15" ht="57.6" x14ac:dyDescent="0.3">
      <c r="A194" s="18">
        <f t="shared" si="2"/>
        <v>192</v>
      </c>
      <c r="B194" s="20" t="s">
        <v>18</v>
      </c>
      <c r="C194" s="16" t="s">
        <v>19</v>
      </c>
      <c r="D194" s="2" t="s">
        <v>20</v>
      </c>
      <c r="E194" s="16" t="s">
        <v>18</v>
      </c>
      <c r="F194" s="11">
        <v>55649667</v>
      </c>
      <c r="G194" s="6">
        <v>43922</v>
      </c>
      <c r="H194" s="6">
        <v>44926</v>
      </c>
      <c r="I194" s="14" t="s">
        <v>359</v>
      </c>
      <c r="J194" s="15" t="s">
        <v>357</v>
      </c>
      <c r="K194" s="6"/>
      <c r="L194" s="22" t="s">
        <v>360</v>
      </c>
      <c r="M194" s="4">
        <f>32957.8/1.95583</f>
        <v>16851.055562088732</v>
      </c>
      <c r="N194" s="7"/>
      <c r="O194" s="7" t="s">
        <v>21</v>
      </c>
    </row>
    <row r="195" spans="1:15" ht="57.6" x14ac:dyDescent="0.3">
      <c r="A195" s="18">
        <f t="shared" si="2"/>
        <v>193</v>
      </c>
      <c r="B195" s="20" t="s">
        <v>18</v>
      </c>
      <c r="C195" s="16" t="s">
        <v>19</v>
      </c>
      <c r="D195" s="2" t="s">
        <v>20</v>
      </c>
      <c r="E195" s="16" t="s">
        <v>18</v>
      </c>
      <c r="F195" s="11">
        <v>55649667</v>
      </c>
      <c r="G195" s="6">
        <v>43922</v>
      </c>
      <c r="H195" s="6">
        <v>44926</v>
      </c>
      <c r="I195" s="14" t="s">
        <v>361</v>
      </c>
      <c r="J195" s="15" t="s">
        <v>362</v>
      </c>
      <c r="K195" s="6">
        <v>43916</v>
      </c>
      <c r="L195" s="22"/>
      <c r="M195" s="4">
        <f>1252134.25/1.95583</f>
        <v>640206.07619271614</v>
      </c>
      <c r="N195" s="7"/>
      <c r="O195" s="7" t="s">
        <v>21</v>
      </c>
    </row>
    <row r="196" spans="1:15" ht="57.6" x14ac:dyDescent="0.3">
      <c r="A196" s="18">
        <f t="shared" si="2"/>
        <v>194</v>
      </c>
      <c r="B196" s="20" t="s">
        <v>18</v>
      </c>
      <c r="C196" s="16" t="s">
        <v>19</v>
      </c>
      <c r="D196" s="2" t="s">
        <v>20</v>
      </c>
      <c r="E196" s="16" t="s">
        <v>18</v>
      </c>
      <c r="F196" s="11">
        <v>55649667</v>
      </c>
      <c r="G196" s="6">
        <v>43922</v>
      </c>
      <c r="H196" s="6">
        <v>44926</v>
      </c>
      <c r="I196" s="14" t="s">
        <v>363</v>
      </c>
      <c r="J196" s="15" t="s">
        <v>364</v>
      </c>
      <c r="K196" s="6">
        <v>44433</v>
      </c>
      <c r="L196" s="22" t="s">
        <v>365</v>
      </c>
      <c r="M196" s="4">
        <f>180000/1.95583</f>
        <v>92032.538615319325</v>
      </c>
      <c r="N196" s="7"/>
      <c r="O196" s="7" t="s">
        <v>21</v>
      </c>
    </row>
    <row r="197" spans="1:15" ht="57.6" x14ac:dyDescent="0.3">
      <c r="A197" s="18">
        <f t="shared" ref="A197:A242" si="3">+A196+1</f>
        <v>195</v>
      </c>
      <c r="B197" s="20" t="s">
        <v>18</v>
      </c>
      <c r="C197" s="16" t="s">
        <v>19</v>
      </c>
      <c r="D197" s="2" t="s">
        <v>20</v>
      </c>
      <c r="E197" s="16" t="s">
        <v>18</v>
      </c>
      <c r="F197" s="11">
        <v>55649667</v>
      </c>
      <c r="G197" s="6">
        <v>43922</v>
      </c>
      <c r="H197" s="6">
        <v>44926</v>
      </c>
      <c r="I197" s="14" t="s">
        <v>366</v>
      </c>
      <c r="J197" s="15" t="s">
        <v>364</v>
      </c>
      <c r="K197" s="6">
        <v>44524</v>
      </c>
      <c r="L197" s="22" t="s">
        <v>367</v>
      </c>
      <c r="M197" s="4">
        <f>109200/1.95583</f>
        <v>55833.073426627059</v>
      </c>
      <c r="N197" s="7"/>
      <c r="O197" s="7" t="s">
        <v>21</v>
      </c>
    </row>
    <row r="198" spans="1:15" ht="57.6" x14ac:dyDescent="0.3">
      <c r="A198" s="18">
        <f t="shared" si="3"/>
        <v>196</v>
      </c>
      <c r="B198" s="20" t="s">
        <v>18</v>
      </c>
      <c r="C198" s="16" t="s">
        <v>19</v>
      </c>
      <c r="D198" s="2" t="s">
        <v>20</v>
      </c>
      <c r="E198" s="16" t="s">
        <v>18</v>
      </c>
      <c r="F198" s="11">
        <v>55649667</v>
      </c>
      <c r="G198" s="6">
        <v>43922</v>
      </c>
      <c r="H198" s="6">
        <v>44926</v>
      </c>
      <c r="I198" s="14" t="s">
        <v>368</v>
      </c>
      <c r="J198" s="15" t="s">
        <v>364</v>
      </c>
      <c r="K198" s="6">
        <v>44712</v>
      </c>
      <c r="L198" s="22" t="s">
        <v>369</v>
      </c>
      <c r="M198" s="4">
        <f>39620/1.95583</f>
        <v>20257.384332994177</v>
      </c>
      <c r="N198" s="7"/>
      <c r="O198" s="7" t="s">
        <v>21</v>
      </c>
    </row>
    <row r="199" spans="1:15" ht="57.6" x14ac:dyDescent="0.3">
      <c r="A199" s="18">
        <f t="shared" si="3"/>
        <v>197</v>
      </c>
      <c r="B199" s="20" t="s">
        <v>18</v>
      </c>
      <c r="C199" s="16" t="s">
        <v>19</v>
      </c>
      <c r="D199" s="2" t="s">
        <v>20</v>
      </c>
      <c r="E199" s="16" t="s">
        <v>18</v>
      </c>
      <c r="F199" s="11">
        <v>55649667</v>
      </c>
      <c r="G199" s="6">
        <v>43922</v>
      </c>
      <c r="H199" s="6">
        <v>44926</v>
      </c>
      <c r="I199" s="14" t="s">
        <v>370</v>
      </c>
      <c r="J199" s="15" t="s">
        <v>371</v>
      </c>
      <c r="K199" s="6">
        <v>44314</v>
      </c>
      <c r="L199" s="22" t="s">
        <v>372</v>
      </c>
      <c r="M199" s="4">
        <f>728040/1.95583</f>
        <v>372240.94118609489</v>
      </c>
      <c r="N199" s="7"/>
      <c r="O199" s="7" t="s">
        <v>21</v>
      </c>
    </row>
    <row r="200" spans="1:15" ht="57.6" x14ac:dyDescent="0.3">
      <c r="A200" s="18">
        <f t="shared" si="3"/>
        <v>198</v>
      </c>
      <c r="B200" s="20" t="s">
        <v>18</v>
      </c>
      <c r="C200" s="16" t="s">
        <v>19</v>
      </c>
      <c r="D200" s="2" t="s">
        <v>20</v>
      </c>
      <c r="E200" s="16" t="s">
        <v>18</v>
      </c>
      <c r="F200" s="11">
        <v>55649667</v>
      </c>
      <c r="G200" s="6">
        <v>43922</v>
      </c>
      <c r="H200" s="6">
        <v>44926</v>
      </c>
      <c r="I200" s="14" t="s">
        <v>373</v>
      </c>
      <c r="J200" s="15" t="s">
        <v>371</v>
      </c>
      <c r="K200" s="6">
        <v>44327</v>
      </c>
      <c r="L200" s="22" t="s">
        <v>374</v>
      </c>
      <c r="M200" s="4">
        <f>2339680/1.95583</f>
        <v>1196259.3885971685</v>
      </c>
      <c r="N200" s="7"/>
      <c r="O200" s="7" t="s">
        <v>21</v>
      </c>
    </row>
    <row r="201" spans="1:15" ht="57.6" x14ac:dyDescent="0.3">
      <c r="A201" s="18">
        <f t="shared" si="3"/>
        <v>199</v>
      </c>
      <c r="B201" s="20" t="s">
        <v>18</v>
      </c>
      <c r="C201" s="16" t="s">
        <v>19</v>
      </c>
      <c r="D201" s="2" t="s">
        <v>20</v>
      </c>
      <c r="E201" s="16" t="s">
        <v>18</v>
      </c>
      <c r="F201" s="11">
        <v>55649667</v>
      </c>
      <c r="G201" s="6">
        <v>43922</v>
      </c>
      <c r="H201" s="6">
        <v>44926</v>
      </c>
      <c r="I201" s="14" t="s">
        <v>375</v>
      </c>
      <c r="J201" s="15" t="s">
        <v>371</v>
      </c>
      <c r="K201" s="6">
        <v>44449</v>
      </c>
      <c r="L201" s="22" t="s">
        <v>376</v>
      </c>
      <c r="M201" s="4">
        <f>68825/1.95583</f>
        <v>35189.663723329737</v>
      </c>
      <c r="N201" s="7"/>
      <c r="O201" s="7" t="s">
        <v>21</v>
      </c>
    </row>
    <row r="202" spans="1:15" ht="57.6" x14ac:dyDescent="0.3">
      <c r="A202" s="18">
        <f t="shared" si="3"/>
        <v>200</v>
      </c>
      <c r="B202" s="20" t="s">
        <v>18</v>
      </c>
      <c r="C202" s="16" t="s">
        <v>19</v>
      </c>
      <c r="D202" s="2" t="s">
        <v>20</v>
      </c>
      <c r="E202" s="16" t="s">
        <v>18</v>
      </c>
      <c r="F202" s="11">
        <v>55649667</v>
      </c>
      <c r="G202" s="6">
        <v>43922</v>
      </c>
      <c r="H202" s="6">
        <v>44926</v>
      </c>
      <c r="I202" s="14" t="s">
        <v>377</v>
      </c>
      <c r="J202" s="15" t="s">
        <v>371</v>
      </c>
      <c r="K202" s="6">
        <v>44490</v>
      </c>
      <c r="L202" s="22" t="s">
        <v>378</v>
      </c>
      <c r="M202" s="4">
        <f>153400/1.95583</f>
        <v>78432.174575499914</v>
      </c>
      <c r="N202" s="7"/>
      <c r="O202" s="7" t="s">
        <v>21</v>
      </c>
    </row>
    <row r="203" spans="1:15" ht="57.6" x14ac:dyDescent="0.3">
      <c r="A203" s="18">
        <f t="shared" si="3"/>
        <v>201</v>
      </c>
      <c r="B203" s="20" t="s">
        <v>18</v>
      </c>
      <c r="C203" s="16" t="s">
        <v>19</v>
      </c>
      <c r="D203" s="2" t="s">
        <v>20</v>
      </c>
      <c r="E203" s="16" t="s">
        <v>18</v>
      </c>
      <c r="F203" s="11">
        <v>55649667</v>
      </c>
      <c r="G203" s="6">
        <v>43922</v>
      </c>
      <c r="H203" s="6">
        <v>44926</v>
      </c>
      <c r="I203" s="14" t="s">
        <v>379</v>
      </c>
      <c r="J203" s="15" t="s">
        <v>380</v>
      </c>
      <c r="K203" s="6">
        <v>44132</v>
      </c>
      <c r="L203" s="22" t="s">
        <v>381</v>
      </c>
      <c r="M203" s="4">
        <v>190265</v>
      </c>
      <c r="N203" s="7"/>
      <c r="O203" s="7" t="s">
        <v>21</v>
      </c>
    </row>
    <row r="204" spans="1:15" ht="57.6" x14ac:dyDescent="0.3">
      <c r="A204" s="18">
        <f t="shared" si="3"/>
        <v>202</v>
      </c>
      <c r="B204" s="20" t="s">
        <v>18</v>
      </c>
      <c r="C204" s="16" t="s">
        <v>19</v>
      </c>
      <c r="D204" s="2" t="s">
        <v>20</v>
      </c>
      <c r="E204" s="16" t="s">
        <v>18</v>
      </c>
      <c r="F204" s="11">
        <v>55649667</v>
      </c>
      <c r="G204" s="6">
        <v>43922</v>
      </c>
      <c r="H204" s="6">
        <v>44926</v>
      </c>
      <c r="I204" s="14" t="s">
        <v>382</v>
      </c>
      <c r="J204" s="15" t="s">
        <v>380</v>
      </c>
      <c r="K204" s="6" t="s">
        <v>383</v>
      </c>
      <c r="L204" s="22" t="s">
        <v>384</v>
      </c>
      <c r="M204" s="4">
        <v>59786.6</v>
      </c>
      <c r="N204" s="7"/>
      <c r="O204" s="7" t="s">
        <v>21</v>
      </c>
    </row>
    <row r="205" spans="1:15" ht="57.6" x14ac:dyDescent="0.3">
      <c r="A205" s="18">
        <f t="shared" si="3"/>
        <v>203</v>
      </c>
      <c r="B205" s="20" t="s">
        <v>18</v>
      </c>
      <c r="C205" s="16" t="s">
        <v>19</v>
      </c>
      <c r="D205" s="2" t="s">
        <v>20</v>
      </c>
      <c r="E205" s="16" t="s">
        <v>18</v>
      </c>
      <c r="F205" s="11">
        <v>55649667</v>
      </c>
      <c r="G205" s="6">
        <v>43922</v>
      </c>
      <c r="H205" s="6">
        <v>44926</v>
      </c>
      <c r="I205" s="14" t="s">
        <v>385</v>
      </c>
      <c r="J205" s="15" t="s">
        <v>380</v>
      </c>
      <c r="K205" s="6">
        <v>44152</v>
      </c>
      <c r="L205" s="22" t="s">
        <v>386</v>
      </c>
      <c r="M205" s="4">
        <v>16339.9</v>
      </c>
      <c r="N205" s="7"/>
      <c r="O205" s="7" t="s">
        <v>21</v>
      </c>
    </row>
    <row r="206" spans="1:15" ht="57.6" x14ac:dyDescent="0.3">
      <c r="A206" s="18">
        <f t="shared" si="3"/>
        <v>204</v>
      </c>
      <c r="B206" s="20" t="s">
        <v>18</v>
      </c>
      <c r="C206" s="16" t="s">
        <v>19</v>
      </c>
      <c r="D206" s="2" t="s">
        <v>20</v>
      </c>
      <c r="E206" s="16" t="s">
        <v>18</v>
      </c>
      <c r="F206" s="11">
        <v>55649667</v>
      </c>
      <c r="G206" s="6">
        <v>43922</v>
      </c>
      <c r="H206" s="6">
        <v>44926</v>
      </c>
      <c r="I206" s="14" t="s">
        <v>387</v>
      </c>
      <c r="J206" s="15" t="s">
        <v>388</v>
      </c>
      <c r="K206" s="6">
        <v>44328</v>
      </c>
      <c r="L206" s="22" t="s">
        <v>389</v>
      </c>
      <c r="M206" s="4">
        <f>369375/1.95583</f>
        <v>188858.43861685321</v>
      </c>
      <c r="N206" s="7"/>
      <c r="O206" s="7" t="s">
        <v>21</v>
      </c>
    </row>
    <row r="207" spans="1:15" ht="57.6" x14ac:dyDescent="0.3">
      <c r="A207" s="18">
        <f t="shared" si="3"/>
        <v>205</v>
      </c>
      <c r="B207" s="20" t="s">
        <v>18</v>
      </c>
      <c r="C207" s="16" t="s">
        <v>19</v>
      </c>
      <c r="D207" s="2" t="s">
        <v>20</v>
      </c>
      <c r="E207" s="16" t="s">
        <v>18</v>
      </c>
      <c r="F207" s="11">
        <v>55649667</v>
      </c>
      <c r="G207" s="6">
        <v>43922</v>
      </c>
      <c r="H207" s="6">
        <v>44926</v>
      </c>
      <c r="I207" s="14" t="s">
        <v>390</v>
      </c>
      <c r="J207" s="15" t="s">
        <v>388</v>
      </c>
      <c r="K207" s="6">
        <v>44328</v>
      </c>
      <c r="L207" s="22" t="s">
        <v>391</v>
      </c>
      <c r="M207" s="4">
        <f>189860.8/1.95583</f>
        <v>97074.285597418988</v>
      </c>
      <c r="N207" s="7"/>
      <c r="O207" s="7" t="s">
        <v>21</v>
      </c>
    </row>
    <row r="208" spans="1:15" ht="57.6" x14ac:dyDescent="0.3">
      <c r="A208" s="18">
        <f t="shared" si="3"/>
        <v>206</v>
      </c>
      <c r="B208" s="20" t="s">
        <v>18</v>
      </c>
      <c r="C208" s="16" t="s">
        <v>19</v>
      </c>
      <c r="D208" s="2" t="s">
        <v>20</v>
      </c>
      <c r="E208" s="16" t="s">
        <v>18</v>
      </c>
      <c r="F208" s="11">
        <v>55649667</v>
      </c>
      <c r="G208" s="6">
        <v>43922</v>
      </c>
      <c r="H208" s="6">
        <v>44926</v>
      </c>
      <c r="I208" s="14" t="s">
        <v>392</v>
      </c>
      <c r="J208" s="15" t="s">
        <v>388</v>
      </c>
      <c r="K208" s="6">
        <v>44328</v>
      </c>
      <c r="L208" s="22" t="s">
        <v>393</v>
      </c>
      <c r="M208" s="4">
        <f>226281.6/1.95583</f>
        <v>115695.94494409024</v>
      </c>
      <c r="N208" s="7"/>
      <c r="O208" s="7" t="s">
        <v>21</v>
      </c>
    </row>
    <row r="209" spans="1:15" ht="57.6" x14ac:dyDescent="0.3">
      <c r="A209" s="18">
        <f t="shared" si="3"/>
        <v>207</v>
      </c>
      <c r="B209" s="20" t="s">
        <v>18</v>
      </c>
      <c r="C209" s="16" t="s">
        <v>19</v>
      </c>
      <c r="D209" s="2" t="s">
        <v>20</v>
      </c>
      <c r="E209" s="16" t="s">
        <v>18</v>
      </c>
      <c r="F209" s="11">
        <v>55649667</v>
      </c>
      <c r="G209" s="6">
        <v>43922</v>
      </c>
      <c r="H209" s="6">
        <v>44926</v>
      </c>
      <c r="I209" s="14" t="s">
        <v>394</v>
      </c>
      <c r="J209" s="15" t="s">
        <v>388</v>
      </c>
      <c r="K209" s="6">
        <v>44328</v>
      </c>
      <c r="L209" s="22" t="s">
        <v>395</v>
      </c>
      <c r="M209" s="4">
        <f>363330.01/1.95583</f>
        <v>185767.68430794089</v>
      </c>
      <c r="N209" s="7"/>
      <c r="O209" s="7" t="s">
        <v>21</v>
      </c>
    </row>
    <row r="210" spans="1:15" ht="57.6" x14ac:dyDescent="0.3">
      <c r="A210" s="18">
        <f t="shared" si="3"/>
        <v>208</v>
      </c>
      <c r="B210" s="20" t="s">
        <v>18</v>
      </c>
      <c r="C210" s="16" t="s">
        <v>19</v>
      </c>
      <c r="D210" s="2" t="s">
        <v>20</v>
      </c>
      <c r="E210" s="16" t="s">
        <v>18</v>
      </c>
      <c r="F210" s="11">
        <v>55649667</v>
      </c>
      <c r="G210" s="6">
        <v>43922</v>
      </c>
      <c r="H210" s="6">
        <v>44926</v>
      </c>
      <c r="I210" s="14" t="s">
        <v>396</v>
      </c>
      <c r="J210" s="15" t="s">
        <v>397</v>
      </c>
      <c r="K210" s="6">
        <v>44035</v>
      </c>
      <c r="L210" s="22" t="s">
        <v>398</v>
      </c>
      <c r="M210" s="4">
        <f>41400/1.95583</f>
        <v>21167.483881523447</v>
      </c>
      <c r="N210" s="7"/>
      <c r="O210" s="7" t="s">
        <v>21</v>
      </c>
    </row>
    <row r="211" spans="1:15" ht="57.6" x14ac:dyDescent="0.3">
      <c r="A211" s="18">
        <f t="shared" si="3"/>
        <v>209</v>
      </c>
      <c r="B211" s="20" t="s">
        <v>18</v>
      </c>
      <c r="C211" s="16" t="s">
        <v>19</v>
      </c>
      <c r="D211" s="2" t="s">
        <v>20</v>
      </c>
      <c r="E211" s="16" t="s">
        <v>18</v>
      </c>
      <c r="F211" s="11">
        <v>55649667</v>
      </c>
      <c r="G211" s="6">
        <v>43922</v>
      </c>
      <c r="H211" s="6">
        <v>44926</v>
      </c>
      <c r="I211" s="14" t="s">
        <v>399</v>
      </c>
      <c r="J211" s="15" t="s">
        <v>397</v>
      </c>
      <c r="K211" s="6">
        <v>44105</v>
      </c>
      <c r="L211" s="22" t="s">
        <v>400</v>
      </c>
      <c r="M211" s="4">
        <f>53400/1.95583</f>
        <v>27302.986455878068</v>
      </c>
      <c r="N211" s="7"/>
      <c r="O211" s="7" t="s">
        <v>21</v>
      </c>
    </row>
    <row r="212" spans="1:15" ht="57.6" x14ac:dyDescent="0.3">
      <c r="A212" s="18">
        <f t="shared" si="3"/>
        <v>210</v>
      </c>
      <c r="B212" s="20" t="s">
        <v>18</v>
      </c>
      <c r="C212" s="16" t="s">
        <v>19</v>
      </c>
      <c r="D212" s="2" t="s">
        <v>20</v>
      </c>
      <c r="E212" s="16" t="s">
        <v>18</v>
      </c>
      <c r="F212" s="11">
        <v>55649667</v>
      </c>
      <c r="G212" s="6">
        <v>43922</v>
      </c>
      <c r="H212" s="6">
        <v>44926</v>
      </c>
      <c r="I212" s="14" t="s">
        <v>401</v>
      </c>
      <c r="J212" s="15" t="s">
        <v>397</v>
      </c>
      <c r="K212" s="6">
        <v>44166</v>
      </c>
      <c r="L212" s="22" t="s">
        <v>402</v>
      </c>
      <c r="M212" s="4">
        <f>30000/1.95583</f>
        <v>15338.756435886555</v>
      </c>
      <c r="N212" s="7"/>
      <c r="O212" s="7" t="s">
        <v>21</v>
      </c>
    </row>
    <row r="213" spans="1:15" ht="57.6" x14ac:dyDescent="0.3">
      <c r="A213" s="18">
        <f t="shared" si="3"/>
        <v>211</v>
      </c>
      <c r="B213" s="20" t="s">
        <v>18</v>
      </c>
      <c r="C213" s="16" t="s">
        <v>19</v>
      </c>
      <c r="D213" s="2" t="s">
        <v>20</v>
      </c>
      <c r="E213" s="16" t="s">
        <v>18</v>
      </c>
      <c r="F213" s="11">
        <v>55649667</v>
      </c>
      <c r="G213" s="6">
        <v>43922</v>
      </c>
      <c r="H213" s="6">
        <v>44926</v>
      </c>
      <c r="I213" s="14" t="s">
        <v>403</v>
      </c>
      <c r="J213" s="15" t="s">
        <v>397</v>
      </c>
      <c r="K213" s="6">
        <v>44196</v>
      </c>
      <c r="L213" s="22" t="s">
        <v>404</v>
      </c>
      <c r="M213" s="4">
        <f>27600/1.95583</f>
        <v>14111.65592101563</v>
      </c>
      <c r="N213" s="7"/>
      <c r="O213" s="7" t="s">
        <v>21</v>
      </c>
    </row>
    <row r="214" spans="1:15" ht="57.6" x14ac:dyDescent="0.3">
      <c r="A214" s="18">
        <f t="shared" si="3"/>
        <v>212</v>
      </c>
      <c r="B214" s="20" t="s">
        <v>18</v>
      </c>
      <c r="C214" s="16" t="s">
        <v>19</v>
      </c>
      <c r="D214" s="2" t="s">
        <v>20</v>
      </c>
      <c r="E214" s="16" t="s">
        <v>18</v>
      </c>
      <c r="F214" s="11">
        <v>55649667</v>
      </c>
      <c r="G214" s="6">
        <v>43922</v>
      </c>
      <c r="H214" s="6">
        <v>44926</v>
      </c>
      <c r="I214" s="14" t="s">
        <v>405</v>
      </c>
      <c r="J214" s="15" t="s">
        <v>397</v>
      </c>
      <c r="K214" s="6">
        <v>44224</v>
      </c>
      <c r="L214" s="22" t="s">
        <v>406</v>
      </c>
      <c r="M214" s="4">
        <f>148800/1.95583</f>
        <v>76080.231921997314</v>
      </c>
      <c r="N214" s="7"/>
      <c r="O214" s="7" t="s">
        <v>21</v>
      </c>
    </row>
    <row r="215" spans="1:15" ht="57.6" x14ac:dyDescent="0.3">
      <c r="A215" s="18">
        <f t="shared" si="3"/>
        <v>213</v>
      </c>
      <c r="B215" s="20" t="s">
        <v>18</v>
      </c>
      <c r="C215" s="16" t="s">
        <v>19</v>
      </c>
      <c r="D215" s="2" t="s">
        <v>20</v>
      </c>
      <c r="E215" s="16" t="s">
        <v>18</v>
      </c>
      <c r="F215" s="11">
        <v>55649667</v>
      </c>
      <c r="G215" s="6">
        <v>43922</v>
      </c>
      <c r="H215" s="6">
        <v>44926</v>
      </c>
      <c r="I215" s="14" t="s">
        <v>407</v>
      </c>
      <c r="J215" s="15" t="s">
        <v>397</v>
      </c>
      <c r="K215" s="6">
        <v>44431</v>
      </c>
      <c r="L215" s="22" t="s">
        <v>408</v>
      </c>
      <c r="M215" s="4">
        <f>136800/1.95583</f>
        <v>69944.729347642686</v>
      </c>
      <c r="N215" s="7"/>
      <c r="O215" s="7" t="s">
        <v>21</v>
      </c>
    </row>
    <row r="216" spans="1:15" ht="57.6" x14ac:dyDescent="0.3">
      <c r="A216" s="18">
        <f t="shared" si="3"/>
        <v>214</v>
      </c>
      <c r="B216" s="20" t="s">
        <v>18</v>
      </c>
      <c r="C216" s="16" t="s">
        <v>19</v>
      </c>
      <c r="D216" s="2" t="s">
        <v>20</v>
      </c>
      <c r="E216" s="16" t="s">
        <v>18</v>
      </c>
      <c r="F216" s="11">
        <v>55649667</v>
      </c>
      <c r="G216" s="6">
        <v>43922</v>
      </c>
      <c r="H216" s="6">
        <v>44926</v>
      </c>
      <c r="I216" s="14" t="s">
        <v>409</v>
      </c>
      <c r="J216" s="15" t="s">
        <v>397</v>
      </c>
      <c r="K216" s="6">
        <v>44578</v>
      </c>
      <c r="L216" s="22" t="s">
        <v>410</v>
      </c>
      <c r="M216" s="4">
        <f>50400/1.95583</f>
        <v>25769.110812289411</v>
      </c>
      <c r="N216" s="7"/>
      <c r="O216" s="7" t="s">
        <v>21</v>
      </c>
    </row>
    <row r="217" spans="1:15" ht="57.6" x14ac:dyDescent="0.3">
      <c r="A217" s="18">
        <f t="shared" si="3"/>
        <v>215</v>
      </c>
      <c r="B217" s="20" t="s">
        <v>18</v>
      </c>
      <c r="C217" s="16" t="s">
        <v>19</v>
      </c>
      <c r="D217" s="2" t="s">
        <v>20</v>
      </c>
      <c r="E217" s="16" t="s">
        <v>18</v>
      </c>
      <c r="F217" s="11">
        <v>55649667</v>
      </c>
      <c r="G217" s="6">
        <v>43922</v>
      </c>
      <c r="H217" s="6">
        <v>44926</v>
      </c>
      <c r="I217" s="14" t="s">
        <v>411</v>
      </c>
      <c r="J217" s="15" t="s">
        <v>397</v>
      </c>
      <c r="K217" s="6">
        <v>44658</v>
      </c>
      <c r="L217" s="22" t="s">
        <v>412</v>
      </c>
      <c r="M217" s="4">
        <f>23000/1.95583</f>
        <v>11759.713267513025</v>
      </c>
      <c r="N217" s="7"/>
      <c r="O217" s="7" t="s">
        <v>21</v>
      </c>
    </row>
    <row r="218" spans="1:15" ht="57.6" x14ac:dyDescent="0.3">
      <c r="A218" s="18">
        <f t="shared" si="3"/>
        <v>216</v>
      </c>
      <c r="B218" s="20" t="s">
        <v>18</v>
      </c>
      <c r="C218" s="16" t="s">
        <v>19</v>
      </c>
      <c r="D218" s="2" t="s">
        <v>20</v>
      </c>
      <c r="E218" s="16" t="s">
        <v>18</v>
      </c>
      <c r="F218" s="11">
        <v>55649667</v>
      </c>
      <c r="G218" s="6">
        <v>43922</v>
      </c>
      <c r="H218" s="6">
        <v>44926</v>
      </c>
      <c r="I218" s="14" t="s">
        <v>413</v>
      </c>
      <c r="J218" s="15" t="s">
        <v>397</v>
      </c>
      <c r="K218" s="6">
        <v>44691</v>
      </c>
      <c r="L218" s="22" t="s">
        <v>414</v>
      </c>
      <c r="M218" s="4">
        <f>33000/1.95583</f>
        <v>16872.63207947521</v>
      </c>
      <c r="N218" s="7"/>
      <c r="O218" s="7" t="s">
        <v>21</v>
      </c>
    </row>
    <row r="219" spans="1:15" ht="57.6" x14ac:dyDescent="0.3">
      <c r="A219" s="18">
        <f t="shared" si="3"/>
        <v>217</v>
      </c>
      <c r="B219" s="20" t="s">
        <v>18</v>
      </c>
      <c r="C219" s="16" t="s">
        <v>19</v>
      </c>
      <c r="D219" s="2" t="s">
        <v>20</v>
      </c>
      <c r="E219" s="16" t="s">
        <v>18</v>
      </c>
      <c r="F219" s="11">
        <v>55649667</v>
      </c>
      <c r="G219" s="6">
        <v>43922</v>
      </c>
      <c r="H219" s="6">
        <v>44926</v>
      </c>
      <c r="I219" s="14" t="s">
        <v>415</v>
      </c>
      <c r="J219" s="15" t="s">
        <v>416</v>
      </c>
      <c r="K219" s="6">
        <v>44123</v>
      </c>
      <c r="L219" s="22" t="s">
        <v>417</v>
      </c>
      <c r="M219" s="4">
        <f>111477.02/1.95583</f>
        <v>56997.295265948473</v>
      </c>
      <c r="N219" s="7"/>
      <c r="O219" s="7" t="s">
        <v>21</v>
      </c>
    </row>
    <row r="220" spans="1:15" ht="57.6" x14ac:dyDescent="0.3">
      <c r="A220" s="18">
        <f t="shared" si="3"/>
        <v>218</v>
      </c>
      <c r="B220" s="20" t="s">
        <v>18</v>
      </c>
      <c r="C220" s="16" t="s">
        <v>19</v>
      </c>
      <c r="D220" s="2" t="s">
        <v>20</v>
      </c>
      <c r="E220" s="16" t="s">
        <v>18</v>
      </c>
      <c r="F220" s="11">
        <v>55649667</v>
      </c>
      <c r="G220" s="6">
        <v>43922</v>
      </c>
      <c r="H220" s="6">
        <v>44926</v>
      </c>
      <c r="I220" s="14" t="s">
        <v>418</v>
      </c>
      <c r="J220" s="15" t="s">
        <v>416</v>
      </c>
      <c r="K220" s="6">
        <v>44284</v>
      </c>
      <c r="L220" s="22" t="s">
        <v>419</v>
      </c>
      <c r="M220" s="4">
        <f>72208.7/1.95583</f>
        <v>36919.722061733381</v>
      </c>
      <c r="N220" s="7"/>
      <c r="O220" s="7" t="s">
        <v>21</v>
      </c>
    </row>
    <row r="221" spans="1:15" ht="57.6" x14ac:dyDescent="0.3">
      <c r="A221" s="18">
        <f t="shared" si="3"/>
        <v>219</v>
      </c>
      <c r="B221" s="20" t="s">
        <v>18</v>
      </c>
      <c r="C221" s="16" t="s">
        <v>19</v>
      </c>
      <c r="D221" s="2" t="s">
        <v>20</v>
      </c>
      <c r="E221" s="16" t="s">
        <v>18</v>
      </c>
      <c r="F221" s="11">
        <v>55649667</v>
      </c>
      <c r="G221" s="6">
        <v>43922</v>
      </c>
      <c r="H221" s="6">
        <v>44926</v>
      </c>
      <c r="I221" s="14" t="s">
        <v>420</v>
      </c>
      <c r="J221" s="15" t="s">
        <v>416</v>
      </c>
      <c r="K221" s="6">
        <v>44391</v>
      </c>
      <c r="L221" s="22" t="s">
        <v>421</v>
      </c>
      <c r="M221" s="4">
        <f>94278.5/1.95583</f>
        <v>48203.831621357684</v>
      </c>
      <c r="N221" s="7"/>
      <c r="O221" s="7" t="s">
        <v>21</v>
      </c>
    </row>
    <row r="222" spans="1:15" ht="57.6" x14ac:dyDescent="0.3">
      <c r="A222" s="18">
        <f t="shared" si="3"/>
        <v>220</v>
      </c>
      <c r="B222" s="20" t="s">
        <v>18</v>
      </c>
      <c r="C222" s="16" t="s">
        <v>19</v>
      </c>
      <c r="D222" s="2" t="s">
        <v>20</v>
      </c>
      <c r="E222" s="16" t="s">
        <v>18</v>
      </c>
      <c r="F222" s="11">
        <v>55649667</v>
      </c>
      <c r="G222" s="6">
        <v>43922</v>
      </c>
      <c r="H222" s="6">
        <v>44926</v>
      </c>
      <c r="I222" s="14" t="s">
        <v>422</v>
      </c>
      <c r="J222" s="15" t="s">
        <v>423</v>
      </c>
      <c r="K222" s="6">
        <v>44027</v>
      </c>
      <c r="L222" s="28" t="s">
        <v>473</v>
      </c>
      <c r="M222" s="4">
        <f>80149.56/1.95583</f>
        <v>40979.819309449187</v>
      </c>
      <c r="N222" s="7"/>
      <c r="O222" s="7" t="s">
        <v>21</v>
      </c>
    </row>
    <row r="223" spans="1:15" ht="57.6" x14ac:dyDescent="0.3">
      <c r="A223" s="18">
        <f t="shared" si="3"/>
        <v>221</v>
      </c>
      <c r="B223" s="20" t="s">
        <v>18</v>
      </c>
      <c r="C223" s="16" t="s">
        <v>19</v>
      </c>
      <c r="D223" s="2" t="s">
        <v>20</v>
      </c>
      <c r="E223" s="16" t="s">
        <v>18</v>
      </c>
      <c r="F223" s="11">
        <v>55649667</v>
      </c>
      <c r="G223" s="6">
        <v>43922</v>
      </c>
      <c r="H223" s="6">
        <v>44926</v>
      </c>
      <c r="I223" s="14" t="s">
        <v>424</v>
      </c>
      <c r="J223" s="15" t="s">
        <v>423</v>
      </c>
      <c r="K223" s="6">
        <v>44216</v>
      </c>
      <c r="L223" s="22" t="s">
        <v>425</v>
      </c>
      <c r="M223" s="4">
        <f>90348.54/1.95583</f>
        <v>46194.474979931794</v>
      </c>
      <c r="N223" s="7"/>
      <c r="O223" s="7" t="s">
        <v>21</v>
      </c>
    </row>
    <row r="224" spans="1:15" ht="57.6" x14ac:dyDescent="0.3">
      <c r="A224" s="18">
        <f t="shared" si="3"/>
        <v>222</v>
      </c>
      <c r="B224" s="20" t="s">
        <v>18</v>
      </c>
      <c r="C224" s="16" t="s">
        <v>19</v>
      </c>
      <c r="D224" s="2" t="s">
        <v>20</v>
      </c>
      <c r="E224" s="16" t="s">
        <v>18</v>
      </c>
      <c r="F224" s="11">
        <v>55649667</v>
      </c>
      <c r="G224" s="6">
        <v>43922</v>
      </c>
      <c r="H224" s="6">
        <v>44926</v>
      </c>
      <c r="I224" s="14" t="s">
        <v>426</v>
      </c>
      <c r="J224" s="15" t="s">
        <v>423</v>
      </c>
      <c r="K224" s="2"/>
      <c r="L224" s="31"/>
      <c r="M224" s="4">
        <f>152856.3/1.95583</f>
        <v>78154.185179693523</v>
      </c>
      <c r="N224" s="7"/>
      <c r="O224" s="7" t="s">
        <v>21</v>
      </c>
    </row>
    <row r="225" spans="1:15" ht="57.6" x14ac:dyDescent="0.3">
      <c r="A225" s="18">
        <f t="shared" si="3"/>
        <v>223</v>
      </c>
      <c r="B225" s="20" t="s">
        <v>18</v>
      </c>
      <c r="C225" s="16" t="s">
        <v>19</v>
      </c>
      <c r="D225" s="2" t="s">
        <v>20</v>
      </c>
      <c r="E225" s="16" t="s">
        <v>18</v>
      </c>
      <c r="F225" s="11">
        <v>55649667</v>
      </c>
      <c r="G225" s="6">
        <v>43922</v>
      </c>
      <c r="H225" s="6">
        <v>44926</v>
      </c>
      <c r="I225" s="14" t="s">
        <v>427</v>
      </c>
      <c r="J225" s="15" t="s">
        <v>428</v>
      </c>
      <c r="K225" s="6">
        <v>44117</v>
      </c>
      <c r="L225" s="22" t="s">
        <v>429</v>
      </c>
      <c r="M225" s="4">
        <f>212800/1.95583</f>
        <v>108802.91231855529</v>
      </c>
      <c r="N225" s="7"/>
      <c r="O225" s="7" t="s">
        <v>21</v>
      </c>
    </row>
    <row r="226" spans="1:15" ht="57.6" x14ac:dyDescent="0.3">
      <c r="A226" s="18">
        <f t="shared" si="3"/>
        <v>224</v>
      </c>
      <c r="B226" s="20" t="s">
        <v>18</v>
      </c>
      <c r="C226" s="16" t="s">
        <v>19</v>
      </c>
      <c r="D226" s="2" t="s">
        <v>20</v>
      </c>
      <c r="E226" s="16" t="s">
        <v>18</v>
      </c>
      <c r="F226" s="11">
        <v>55649667</v>
      </c>
      <c r="G226" s="6">
        <v>43922</v>
      </c>
      <c r="H226" s="6">
        <v>44926</v>
      </c>
      <c r="I226" s="14" t="s">
        <v>430</v>
      </c>
      <c r="J226" s="15" t="s">
        <v>428</v>
      </c>
      <c r="K226" s="6">
        <v>44385</v>
      </c>
      <c r="L226" s="22" t="s">
        <v>431</v>
      </c>
      <c r="M226" s="4">
        <f>61934.61/1.95583</f>
        <v>31666.663258054126</v>
      </c>
      <c r="N226" s="7"/>
      <c r="O226" s="7" t="s">
        <v>21</v>
      </c>
    </row>
    <row r="227" spans="1:15" ht="57.6" x14ac:dyDescent="0.3">
      <c r="A227" s="18">
        <f t="shared" si="3"/>
        <v>225</v>
      </c>
      <c r="B227" s="20" t="s">
        <v>18</v>
      </c>
      <c r="C227" s="16" t="s">
        <v>19</v>
      </c>
      <c r="D227" s="2" t="s">
        <v>20</v>
      </c>
      <c r="E227" s="16" t="s">
        <v>18</v>
      </c>
      <c r="F227" s="11">
        <v>55649667</v>
      </c>
      <c r="G227" s="6">
        <v>43922</v>
      </c>
      <c r="H227" s="6">
        <v>44926</v>
      </c>
      <c r="I227" s="14" t="s">
        <v>432</v>
      </c>
      <c r="J227" s="15" t="s">
        <v>428</v>
      </c>
      <c r="K227" s="6">
        <v>44418</v>
      </c>
      <c r="L227" s="22" t="s">
        <v>433</v>
      </c>
      <c r="M227" s="4">
        <f>29644.19/1.95583</f>
        <v>15156.833671638127</v>
      </c>
      <c r="N227" s="7"/>
      <c r="O227" s="7" t="s">
        <v>21</v>
      </c>
    </row>
    <row r="228" spans="1:15" ht="57.6" x14ac:dyDescent="0.3">
      <c r="A228" s="18">
        <f t="shared" si="3"/>
        <v>226</v>
      </c>
      <c r="B228" s="20" t="s">
        <v>18</v>
      </c>
      <c r="C228" s="16" t="s">
        <v>19</v>
      </c>
      <c r="D228" s="2" t="s">
        <v>20</v>
      </c>
      <c r="E228" s="16" t="s">
        <v>18</v>
      </c>
      <c r="F228" s="11">
        <v>55649667</v>
      </c>
      <c r="G228" s="6">
        <v>43922</v>
      </c>
      <c r="H228" s="6">
        <v>44926</v>
      </c>
      <c r="I228" s="14" t="s">
        <v>434</v>
      </c>
      <c r="J228" s="15" t="s">
        <v>428</v>
      </c>
      <c r="K228" s="6">
        <v>44536</v>
      </c>
      <c r="L228" s="22" t="s">
        <v>435</v>
      </c>
      <c r="M228" s="4">
        <f>20954.92/1.95583</f>
        <v>10714.080467116262</v>
      </c>
      <c r="N228" s="7"/>
      <c r="O228" s="7" t="s">
        <v>21</v>
      </c>
    </row>
    <row r="229" spans="1:15" ht="57.6" x14ac:dyDescent="0.3">
      <c r="A229" s="18">
        <f t="shared" si="3"/>
        <v>227</v>
      </c>
      <c r="B229" s="20" t="s">
        <v>18</v>
      </c>
      <c r="C229" s="16" t="s">
        <v>19</v>
      </c>
      <c r="D229" s="2" t="s">
        <v>20</v>
      </c>
      <c r="E229" s="16" t="s">
        <v>18</v>
      </c>
      <c r="F229" s="11">
        <v>55649667</v>
      </c>
      <c r="G229" s="6">
        <v>43922</v>
      </c>
      <c r="H229" s="6">
        <v>44926</v>
      </c>
      <c r="I229" s="14" t="s">
        <v>436</v>
      </c>
      <c r="J229" s="15" t="s">
        <v>428</v>
      </c>
      <c r="K229" s="6">
        <v>44537</v>
      </c>
      <c r="L229" s="22" t="s">
        <v>437</v>
      </c>
      <c r="M229" s="4">
        <f>21584.03/1.95583</f>
        <v>11035.739302495615</v>
      </c>
      <c r="N229" s="7"/>
      <c r="O229" s="7" t="s">
        <v>21</v>
      </c>
    </row>
    <row r="230" spans="1:15" ht="57.6" x14ac:dyDescent="0.3">
      <c r="A230" s="18">
        <f t="shared" si="3"/>
        <v>228</v>
      </c>
      <c r="B230" s="20" t="s">
        <v>18</v>
      </c>
      <c r="C230" s="16" t="s">
        <v>19</v>
      </c>
      <c r="D230" s="2" t="s">
        <v>20</v>
      </c>
      <c r="E230" s="16" t="s">
        <v>18</v>
      </c>
      <c r="F230" s="11">
        <v>55649667</v>
      </c>
      <c r="G230" s="6">
        <v>43922</v>
      </c>
      <c r="H230" s="6">
        <v>44926</v>
      </c>
      <c r="I230" s="14" t="s">
        <v>438</v>
      </c>
      <c r="J230" s="15" t="s">
        <v>428</v>
      </c>
      <c r="K230" s="6">
        <v>44707</v>
      </c>
      <c r="L230" s="22" t="s">
        <v>439</v>
      </c>
      <c r="M230" s="4">
        <f>26125.78/1.95583</f>
        <v>13357.899203918541</v>
      </c>
      <c r="N230" s="7"/>
      <c r="O230" s="7" t="s">
        <v>21</v>
      </c>
    </row>
    <row r="231" spans="1:15" ht="57.6" x14ac:dyDescent="0.3">
      <c r="A231" s="18">
        <f t="shared" si="3"/>
        <v>229</v>
      </c>
      <c r="B231" s="20" t="s">
        <v>18</v>
      </c>
      <c r="C231" s="16" t="s">
        <v>19</v>
      </c>
      <c r="D231" s="2" t="s">
        <v>20</v>
      </c>
      <c r="E231" s="16" t="s">
        <v>18</v>
      </c>
      <c r="F231" s="11">
        <v>55649667</v>
      </c>
      <c r="G231" s="6">
        <v>43922</v>
      </c>
      <c r="H231" s="6">
        <v>44926</v>
      </c>
      <c r="I231" s="14" t="s">
        <v>440</v>
      </c>
      <c r="J231" s="15" t="s">
        <v>441</v>
      </c>
      <c r="K231" s="6">
        <v>44348</v>
      </c>
      <c r="L231" s="22" t="s">
        <v>442</v>
      </c>
      <c r="M231" s="4">
        <f>53900/1.95583</f>
        <v>27558.632396476176</v>
      </c>
      <c r="N231" s="7"/>
      <c r="O231" s="7" t="s">
        <v>21</v>
      </c>
    </row>
    <row r="232" spans="1:15" ht="57.6" x14ac:dyDescent="0.3">
      <c r="A232" s="18">
        <f t="shared" si="3"/>
        <v>230</v>
      </c>
      <c r="B232" s="20" t="s">
        <v>18</v>
      </c>
      <c r="C232" s="16" t="s">
        <v>19</v>
      </c>
      <c r="D232" s="2" t="s">
        <v>20</v>
      </c>
      <c r="E232" s="16" t="s">
        <v>18</v>
      </c>
      <c r="F232" s="11">
        <v>55649667</v>
      </c>
      <c r="G232" s="6">
        <v>43922</v>
      </c>
      <c r="H232" s="6">
        <v>44926</v>
      </c>
      <c r="I232" s="14" t="s">
        <v>443</v>
      </c>
      <c r="J232" s="15" t="s">
        <v>444</v>
      </c>
      <c r="K232" s="6">
        <v>44152</v>
      </c>
      <c r="L232" s="22" t="s">
        <v>445</v>
      </c>
      <c r="M232" s="4">
        <f>27506.08/1.95583</f>
        <v>14063.635387533683</v>
      </c>
      <c r="N232" s="7"/>
      <c r="O232" s="7" t="s">
        <v>21</v>
      </c>
    </row>
    <row r="233" spans="1:15" ht="57.6" x14ac:dyDescent="0.3">
      <c r="A233" s="18">
        <f t="shared" si="3"/>
        <v>231</v>
      </c>
      <c r="B233" s="20" t="s">
        <v>18</v>
      </c>
      <c r="C233" s="16" t="s">
        <v>19</v>
      </c>
      <c r="D233" s="2" t="s">
        <v>20</v>
      </c>
      <c r="E233" s="16" t="s">
        <v>18</v>
      </c>
      <c r="F233" s="11">
        <v>55649667</v>
      </c>
      <c r="G233" s="6">
        <v>43922</v>
      </c>
      <c r="H233" s="6">
        <v>44926</v>
      </c>
      <c r="I233" s="14" t="s">
        <v>446</v>
      </c>
      <c r="J233" s="15" t="s">
        <v>447</v>
      </c>
      <c r="K233" s="6">
        <v>44566</v>
      </c>
      <c r="L233" s="22" t="s">
        <v>448</v>
      </c>
      <c r="M233" s="4">
        <f>23411/1.95583</f>
        <v>11969.854230684672</v>
      </c>
      <c r="N233" s="7"/>
      <c r="O233" s="7" t="s">
        <v>21</v>
      </c>
    </row>
    <row r="234" spans="1:15" ht="57.6" x14ac:dyDescent="0.3">
      <c r="A234" s="18">
        <f t="shared" si="3"/>
        <v>232</v>
      </c>
      <c r="B234" s="20" t="s">
        <v>18</v>
      </c>
      <c r="C234" s="16" t="s">
        <v>19</v>
      </c>
      <c r="D234" s="2" t="s">
        <v>20</v>
      </c>
      <c r="E234" s="16" t="s">
        <v>18</v>
      </c>
      <c r="F234" s="11">
        <v>55649667</v>
      </c>
      <c r="G234" s="6">
        <v>43922</v>
      </c>
      <c r="H234" s="6">
        <v>44926</v>
      </c>
      <c r="I234" s="14" t="s">
        <v>449</v>
      </c>
      <c r="J234" s="15" t="s">
        <v>450</v>
      </c>
      <c r="K234" s="6">
        <v>44070</v>
      </c>
      <c r="L234" s="22" t="s">
        <v>451</v>
      </c>
      <c r="M234" s="4">
        <f>28562.1/1.95583</f>
        <v>14603.569839914511</v>
      </c>
      <c r="N234" s="7"/>
      <c r="O234" s="7" t="s">
        <v>21</v>
      </c>
    </row>
    <row r="235" spans="1:15" ht="57.6" x14ac:dyDescent="0.3">
      <c r="A235" s="18">
        <f t="shared" si="3"/>
        <v>233</v>
      </c>
      <c r="B235" s="20" t="s">
        <v>18</v>
      </c>
      <c r="C235" s="16" t="s">
        <v>19</v>
      </c>
      <c r="D235" s="2" t="s">
        <v>20</v>
      </c>
      <c r="E235" s="16" t="s">
        <v>18</v>
      </c>
      <c r="F235" s="11">
        <v>55649667</v>
      </c>
      <c r="G235" s="6">
        <v>43922</v>
      </c>
      <c r="H235" s="6">
        <v>44926</v>
      </c>
      <c r="I235" s="14" t="s">
        <v>452</v>
      </c>
      <c r="J235" s="15" t="s">
        <v>453</v>
      </c>
      <c r="K235" s="6">
        <v>44439</v>
      </c>
      <c r="L235" s="22" t="s">
        <v>454</v>
      </c>
      <c r="M235" s="4">
        <f>228677.5/1.95583</f>
        <v>116920.94916224826</v>
      </c>
      <c r="N235" s="7"/>
      <c r="O235" s="7" t="s">
        <v>21</v>
      </c>
    </row>
    <row r="236" spans="1:15" ht="57.6" x14ac:dyDescent="0.3">
      <c r="A236" s="18">
        <f t="shared" si="3"/>
        <v>234</v>
      </c>
      <c r="B236" s="20" t="s">
        <v>18</v>
      </c>
      <c r="C236" s="16" t="s">
        <v>19</v>
      </c>
      <c r="D236" s="2" t="s">
        <v>20</v>
      </c>
      <c r="E236" s="16" t="s">
        <v>18</v>
      </c>
      <c r="F236" s="11">
        <v>55649667</v>
      </c>
      <c r="G236" s="6">
        <v>43922</v>
      </c>
      <c r="H236" s="6">
        <v>44926</v>
      </c>
      <c r="I236" s="14" t="s">
        <v>455</v>
      </c>
      <c r="J236" s="15" t="s">
        <v>453</v>
      </c>
      <c r="K236" s="6">
        <v>44522</v>
      </c>
      <c r="L236" s="22" t="s">
        <v>456</v>
      </c>
      <c r="M236" s="4">
        <f>26154/1.95583</f>
        <v>13372.327860805899</v>
      </c>
      <c r="N236" s="7"/>
      <c r="O236" s="7" t="s">
        <v>21</v>
      </c>
    </row>
    <row r="237" spans="1:15" ht="57.6" x14ac:dyDescent="0.3">
      <c r="A237" s="18">
        <f t="shared" si="3"/>
        <v>235</v>
      </c>
      <c r="B237" s="20" t="s">
        <v>18</v>
      </c>
      <c r="C237" s="16" t="s">
        <v>19</v>
      </c>
      <c r="D237" s="2" t="s">
        <v>20</v>
      </c>
      <c r="E237" s="16" t="s">
        <v>18</v>
      </c>
      <c r="F237" s="11">
        <v>55649667</v>
      </c>
      <c r="G237" s="6">
        <v>43922</v>
      </c>
      <c r="H237" s="6">
        <v>44926</v>
      </c>
      <c r="I237" s="14" t="s">
        <v>457</v>
      </c>
      <c r="J237" s="15" t="s">
        <v>453</v>
      </c>
      <c r="K237" s="6">
        <v>44705</v>
      </c>
      <c r="L237" s="22" t="s">
        <v>458</v>
      </c>
      <c r="M237" s="4">
        <f>20100/1.95583</f>
        <v>10276.966812043991</v>
      </c>
      <c r="N237" s="7"/>
      <c r="O237" s="7" t="s">
        <v>21</v>
      </c>
    </row>
    <row r="238" spans="1:15" ht="57.6" x14ac:dyDescent="0.3">
      <c r="A238" s="18">
        <f t="shared" si="3"/>
        <v>236</v>
      </c>
      <c r="B238" s="20" t="s">
        <v>18</v>
      </c>
      <c r="C238" s="16" t="s">
        <v>19</v>
      </c>
      <c r="D238" s="2" t="s">
        <v>20</v>
      </c>
      <c r="E238" s="16" t="s">
        <v>18</v>
      </c>
      <c r="F238" s="11">
        <v>55649667</v>
      </c>
      <c r="G238" s="6">
        <v>43922</v>
      </c>
      <c r="H238" s="6">
        <v>44926</v>
      </c>
      <c r="I238" s="14" t="s">
        <v>459</v>
      </c>
      <c r="J238" s="15" t="s">
        <v>460</v>
      </c>
      <c r="K238" s="6">
        <v>44712</v>
      </c>
      <c r="L238" s="22" t="s">
        <v>461</v>
      </c>
      <c r="M238" s="4">
        <f>30730/1.95583</f>
        <v>15711.999509159794</v>
      </c>
      <c r="N238" s="7"/>
      <c r="O238" s="7" t="s">
        <v>21</v>
      </c>
    </row>
    <row r="239" spans="1:15" ht="57.6" x14ac:dyDescent="0.3">
      <c r="A239" s="18">
        <f t="shared" si="3"/>
        <v>237</v>
      </c>
      <c r="B239" s="20" t="s">
        <v>18</v>
      </c>
      <c r="C239" s="16" t="s">
        <v>19</v>
      </c>
      <c r="D239" s="2" t="s">
        <v>20</v>
      </c>
      <c r="E239" s="16" t="s">
        <v>18</v>
      </c>
      <c r="F239" s="11">
        <v>55649667</v>
      </c>
      <c r="G239" s="6">
        <v>43922</v>
      </c>
      <c r="H239" s="6">
        <v>44926</v>
      </c>
      <c r="I239" s="14" t="s">
        <v>469</v>
      </c>
      <c r="J239" s="15" t="s">
        <v>463</v>
      </c>
      <c r="K239" s="6">
        <v>44039</v>
      </c>
      <c r="L239" s="28" t="s">
        <v>464</v>
      </c>
      <c r="M239" s="4">
        <v>765744.52</v>
      </c>
      <c r="N239" s="7"/>
      <c r="O239" s="7" t="s">
        <v>21</v>
      </c>
    </row>
    <row r="240" spans="1:15" ht="57.6" x14ac:dyDescent="0.3">
      <c r="A240" s="18">
        <f t="shared" si="3"/>
        <v>238</v>
      </c>
      <c r="B240" s="20" t="s">
        <v>18</v>
      </c>
      <c r="C240" s="16" t="s">
        <v>19</v>
      </c>
      <c r="D240" s="2" t="s">
        <v>20</v>
      </c>
      <c r="E240" s="16" t="s">
        <v>18</v>
      </c>
      <c r="F240" s="11">
        <v>55649667</v>
      </c>
      <c r="G240" s="6">
        <v>43922</v>
      </c>
      <c r="H240" s="6">
        <v>44926</v>
      </c>
      <c r="I240" s="14" t="s">
        <v>469</v>
      </c>
      <c r="J240" s="15" t="s">
        <v>466</v>
      </c>
      <c r="K240" s="6">
        <v>44050</v>
      </c>
      <c r="L240" s="28" t="s">
        <v>465</v>
      </c>
      <c r="M240" s="4">
        <v>922886.59</v>
      </c>
      <c r="N240" s="7"/>
      <c r="O240" s="7" t="s">
        <v>21</v>
      </c>
    </row>
    <row r="241" spans="1:15" ht="57.6" x14ac:dyDescent="0.3">
      <c r="A241" s="18">
        <f t="shared" si="3"/>
        <v>239</v>
      </c>
      <c r="B241" s="20" t="s">
        <v>18</v>
      </c>
      <c r="C241" s="16" t="s">
        <v>19</v>
      </c>
      <c r="D241" s="2" t="s">
        <v>20</v>
      </c>
      <c r="E241" s="16" t="s">
        <v>18</v>
      </c>
      <c r="F241" s="11">
        <v>55649667</v>
      </c>
      <c r="G241" s="6">
        <v>43922</v>
      </c>
      <c r="H241" s="6">
        <v>44926</v>
      </c>
      <c r="I241" s="14" t="s">
        <v>469</v>
      </c>
      <c r="J241" s="15" t="s">
        <v>467</v>
      </c>
      <c r="K241" s="6">
        <v>44057</v>
      </c>
      <c r="L241" s="28" t="s">
        <v>468</v>
      </c>
      <c r="M241" s="4">
        <v>2650960.31</v>
      </c>
      <c r="N241" s="7"/>
      <c r="O241" s="7" t="s">
        <v>21</v>
      </c>
    </row>
    <row r="242" spans="1:15" ht="57.6" x14ac:dyDescent="0.3">
      <c r="A242" s="18">
        <f t="shared" si="3"/>
        <v>240</v>
      </c>
      <c r="B242" s="20" t="s">
        <v>18</v>
      </c>
      <c r="C242" s="16" t="s">
        <v>19</v>
      </c>
      <c r="D242" s="2" t="s">
        <v>20</v>
      </c>
      <c r="E242" s="16" t="s">
        <v>18</v>
      </c>
      <c r="F242" s="11">
        <v>55649667</v>
      </c>
      <c r="G242" s="6">
        <v>43922</v>
      </c>
      <c r="H242" s="6">
        <v>44926</v>
      </c>
      <c r="I242" s="14" t="s">
        <v>471</v>
      </c>
      <c r="J242" s="15" t="s">
        <v>472</v>
      </c>
      <c r="K242" s="6">
        <v>44166</v>
      </c>
      <c r="L242" s="28" t="s">
        <v>470</v>
      </c>
      <c r="M242" s="4">
        <v>1049979.32</v>
      </c>
      <c r="N242" s="7"/>
      <c r="O242" s="7" t="s">
        <v>21</v>
      </c>
    </row>
    <row r="243" spans="1:15" x14ac:dyDescent="0.3">
      <c r="M243" s="36"/>
    </row>
    <row r="244" spans="1:15" x14ac:dyDescent="0.3">
      <c r="B244" s="19" t="s">
        <v>17</v>
      </c>
    </row>
    <row r="247" spans="1:15" ht="23.7" customHeight="1" x14ac:dyDescent="0.3">
      <c r="H247" s="12"/>
      <c r="I247" s="12"/>
      <c r="J247" s="12"/>
      <c r="K247" s="12"/>
      <c r="L247" s="25"/>
      <c r="M247" s="12"/>
      <c r="N247" s="12"/>
      <c r="O247" s="12"/>
    </row>
  </sheetData>
  <mergeCells count="2">
    <mergeCell ref="I1:O1"/>
    <mergeCell ref="C1:H1"/>
  </mergeCells>
  <pageMargins left="0.31496062992125984" right="0.31496062992125984" top="0.35433070866141736" bottom="0.35433070866141736" header="0.31496062992125984" footer="0.31496062992125984"/>
  <pageSetup paperSize="9" scale="38" fitToHeight="10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df815d-6fe6-4674-8e33-90bcf4ad47ae">
      <Terms xmlns="http://schemas.microsoft.com/office/infopath/2007/PartnerControls"/>
    </lcf76f155ced4ddcb4097134ff3c332f>
    <TaxCatchAll xmlns="b86ba3e2-2acd-4ba8-840d-860c008ede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E2373716F0B4A92A3FBCA66532C98" ma:contentTypeVersion="12" ma:contentTypeDescription="Create a new document." ma:contentTypeScope="" ma:versionID="8f0fc79b2faef6e82645adb112525b74">
  <xsd:schema xmlns:xsd="http://www.w3.org/2001/XMLSchema" xmlns:xs="http://www.w3.org/2001/XMLSchema" xmlns:p="http://schemas.microsoft.com/office/2006/metadata/properties" xmlns:ns2="b9df815d-6fe6-4674-8e33-90bcf4ad47ae" xmlns:ns3="b86ba3e2-2acd-4ba8-840d-860c008ede00" targetNamespace="http://schemas.microsoft.com/office/2006/metadata/properties" ma:root="true" ma:fieldsID="b1810ec06d509ba1b6171af7fe32de83" ns2:_="" ns3:_="">
    <xsd:import namespace="b9df815d-6fe6-4674-8e33-90bcf4ad47ae"/>
    <xsd:import namespace="b86ba3e2-2acd-4ba8-840d-860c008ed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f815d-6fe6-4674-8e33-90bcf4ad4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ba3e2-2acd-4ba8-840d-860c008ede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4e13c67-e663-45c7-ac60-94ed25df8e21}" ma:internalName="TaxCatchAll" ma:showField="CatchAllData" ma:web="b86ba3e2-2acd-4ba8-840d-860c008ed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F0555A-21F4-44B9-859E-8C41613D295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b9df815d-6fe6-4674-8e33-90bcf4ad47ae"/>
    <ds:schemaRef ds:uri="http://schemas.openxmlformats.org/package/2006/metadata/core-properties"/>
    <ds:schemaRef ds:uri="http://purl.org/dc/elements/1.1/"/>
    <ds:schemaRef ds:uri="b86ba3e2-2acd-4ba8-840d-860c008ede00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A863AB-6FF0-49D7-857D-F1EB21F62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f815d-6fe6-4674-8e33-90bcf4ad47ae"/>
    <ds:schemaRef ds:uri="b86ba3e2-2acd-4ba8-840d-860c008ed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96F06-5AC0-4128-A2FA-FCC721E8C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ex-post publication</vt:lpstr>
      <vt:lpstr>'ex-post publication'!Print_Titles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AMBROGIO Vincenzo</dc:creator>
  <cp:keywords/>
  <dc:description/>
  <cp:lastModifiedBy>ALIBEGOVIC Maida</cp:lastModifiedBy>
  <cp:revision/>
  <dcterms:created xsi:type="dcterms:W3CDTF">2017-06-22T10:51:37Z</dcterms:created>
  <dcterms:modified xsi:type="dcterms:W3CDTF">2022-12-15T16:50:16Z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0x010100162E2373716F0B4A92A3FBCA66532C98</vt:lpwstr>
  </property>
  <property fmtid="{D5CDD505-2E9C-101B-9397-08002B2CF9AE}" pid="3" name="MediaServiceImageTags">
    <vt:lpwstr/>
  </property>
</Properties>
</file>